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5976" windowHeight="6996" activeTab="2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BS'!$B$10:$E$65</definedName>
    <definedName name="_xlnm.Print_Area" localSheetId="0">'Income Stmt'!$B$2:$H$57</definedName>
    <definedName name="_xlnm.Print_Area" localSheetId="2">'Notes'!$B$10:$L$244</definedName>
    <definedName name="_xlnm.Print_Titles" localSheetId="1">'Conso BS'!$2:$16</definedName>
    <definedName name="_xlnm.Print_Titles" localSheetId="2">'Notes'!$2:$9</definedName>
  </definedNames>
  <calcPr fullCalcOnLoad="1"/>
</workbook>
</file>

<file path=xl/sharedStrings.xml><?xml version="1.0" encoding="utf-8"?>
<sst xmlns="http://schemas.openxmlformats.org/spreadsheetml/2006/main" count="400" uniqueCount="294">
  <si>
    <t>The figures have not been audited</t>
  </si>
  <si>
    <t>CONSOLIDATED INCOME STATEMENT</t>
  </si>
  <si>
    <t>Quarter</t>
  </si>
  <si>
    <t>RM'000</t>
  </si>
  <si>
    <t>1.</t>
  </si>
  <si>
    <t>(a)</t>
  </si>
  <si>
    <t>Turnover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</si>
  <si>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</si>
  <si>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</si>
  <si>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</si>
  <si>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</si>
  <si>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</si>
  <si>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</si>
  <si>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</si>
  <si>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</si>
  <si>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</si>
  <si>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</si>
  <si>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</si>
  <si>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</si>
  <si>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</si>
  <si>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</si>
  <si>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</si>
  <si>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Extraordinary items</t>
  </si>
  <si>
    <t>(l)</t>
  </si>
  <si>
    <t>3.</t>
  </si>
  <si>
    <t>As at</t>
  </si>
  <si>
    <t>preceding</t>
  </si>
  <si>
    <t>financial</t>
  </si>
  <si>
    <t>INVESTMENT IN ASSOCIATED COMPANIES</t>
  </si>
  <si>
    <t>LAND AND DEVELOPMENT EXPENDITURE</t>
  </si>
  <si>
    <t>SECURITY RETAINERS' ACCUMULATION FUND</t>
  </si>
  <si>
    <t>GOODWILL ON CONSOLIDATION</t>
  </si>
  <si>
    <t>Current Assets</t>
  </si>
  <si>
    <t>Cash and bank balances</t>
  </si>
  <si>
    <t>Current Liabilities</t>
  </si>
  <si>
    <t>Short term bank borrowings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</si>
  <si>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</si>
  <si>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</si>
  <si>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</si>
  <si>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</si>
  <si>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</si>
  <si>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</si>
  <si>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</si>
  <si>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</si>
  <si>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</si>
  <si>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Minority Interests</t>
  </si>
  <si>
    <t>Security retainers</t>
  </si>
  <si>
    <t>Deferred licence fees</t>
  </si>
  <si>
    <t>Deferred taxation</t>
  </si>
  <si>
    <t>CONSOLIDATED BALANCE SHEET</t>
  </si>
  <si>
    <t>NOTES TO THE ACCOUNTS</t>
  </si>
  <si>
    <t>Accounting policies</t>
  </si>
  <si>
    <t>4.</t>
  </si>
  <si>
    <t>5.</t>
  </si>
  <si>
    <t>6.</t>
  </si>
  <si>
    <t>7.</t>
  </si>
  <si>
    <t>Quoted securities</t>
  </si>
  <si>
    <t>8.</t>
  </si>
  <si>
    <t>9.</t>
  </si>
  <si>
    <t>10.</t>
  </si>
  <si>
    <t>11.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</si>
  <si>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</si>
  <si>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</si>
  <si>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</si>
  <si>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</si>
  <si>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</si>
  <si>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</si>
  <si>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</si>
  <si>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</si>
  <si>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</si>
  <si>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16.</t>
  </si>
  <si>
    <t>Segmental results</t>
  </si>
  <si>
    <t>Manufacturing</t>
  </si>
  <si>
    <t>Investment</t>
  </si>
  <si>
    <t>17.</t>
  </si>
  <si>
    <t>18.</t>
  </si>
  <si>
    <t>Prospects</t>
  </si>
  <si>
    <t>20.</t>
  </si>
  <si>
    <t>Profit forecast/ profit guarantee</t>
  </si>
  <si>
    <t>Dividend</t>
  </si>
  <si>
    <t>(Company No. 47908-K)</t>
  </si>
  <si>
    <t>Share of taxation of associated company</t>
  </si>
  <si>
    <t>At cost</t>
  </si>
  <si>
    <t>At market value at end of reporting period</t>
  </si>
  <si>
    <t>Current</t>
  </si>
  <si>
    <t>By Order of the Board</t>
  </si>
  <si>
    <t>Secretaries</t>
  </si>
  <si>
    <t>Petaling Jaya</t>
  </si>
  <si>
    <t>Selangor Darul Ehsan</t>
  </si>
  <si>
    <t xml:space="preserve">  </t>
  </si>
  <si>
    <t>Underprovision of tax in previous years</t>
  </si>
  <si>
    <t>Current year income tax charge/ (credit)</t>
  </si>
  <si>
    <t>Changes in composition of the group</t>
  </si>
  <si>
    <t>(ii)</t>
  </si>
  <si>
    <t>Status of corporate proposals</t>
  </si>
  <si>
    <t>Seasonality or cyclicality of operations</t>
  </si>
  <si>
    <t>The business operations of the Group are not significantly affected by any seasonal or cyclical factors.</t>
  </si>
  <si>
    <t>Changes in debt and equity securities</t>
  </si>
  <si>
    <t>Particulars of the Group's borrowings are as follows:</t>
  </si>
  <si>
    <t>Review of performance</t>
  </si>
  <si>
    <t>Individual Quarter</t>
  </si>
  <si>
    <t>Cumulative Quarter</t>
  </si>
  <si>
    <t>Year</t>
  </si>
  <si>
    <t>Corresponding</t>
  </si>
  <si>
    <t>To Date</t>
  </si>
  <si>
    <t>Period</t>
  </si>
  <si>
    <t>Preceding</t>
  </si>
  <si>
    <t xml:space="preserve"> Year</t>
  </si>
  <si>
    <t>DIJAYA CORPORATION BERHAD</t>
  </si>
  <si>
    <t>The Group does not have any financial instrument with off-balance sheet risk as at the end of the financial</t>
  </si>
  <si>
    <t>period under review and to the date of this announcement.</t>
  </si>
  <si>
    <t>Other income</t>
  </si>
  <si>
    <t>Profit/ (loss) before finance cost, depreciation</t>
  </si>
  <si>
    <t>Finance cost</t>
  </si>
  <si>
    <t>Share of profits and losses of associated</t>
  </si>
  <si>
    <t>companies</t>
  </si>
  <si>
    <t>interests and extraordinary items</t>
  </si>
  <si>
    <t>Profit/ (loss) before income tax, minority</t>
  </si>
  <si>
    <t>tax, minority interest and extraordinary items</t>
  </si>
  <si>
    <t>and amortisation, exceptional items, income</t>
  </si>
  <si>
    <t>Income tax</t>
  </si>
  <si>
    <t>deducting minority interests</t>
  </si>
  <si>
    <t>(i)  Profit/ (loss) after income tax before</t>
  </si>
  <si>
    <t>(ii) Less minority interests</t>
  </si>
  <si>
    <t>Net profit/ (loss) from ordinary activities</t>
  </si>
  <si>
    <t>attributable to members of the Company</t>
  </si>
  <si>
    <t>(i)  Extraordinary items</t>
  </si>
  <si>
    <t>(ii) Extraordinary items attributable to members</t>
  </si>
  <si>
    <t>of the Company</t>
  </si>
  <si>
    <t>Net profit/ (loss) attributable to members of the Company</t>
  </si>
  <si>
    <t>Earnings per share based on 2(l) above:-</t>
  </si>
  <si>
    <t>shares) (sen)</t>
  </si>
  <si>
    <t>Basic (based on 259,502,583 ordinary</t>
  </si>
  <si>
    <t>Note:</t>
  </si>
  <si>
    <t>quarter</t>
  </si>
  <si>
    <t>end of</t>
  </si>
  <si>
    <t>current</t>
  </si>
  <si>
    <t>year end</t>
  </si>
  <si>
    <t>PROPERTY, PLANT AND EQUIPMENT</t>
  </si>
  <si>
    <t>LONG TERM INVESTMENTS</t>
  </si>
  <si>
    <t>Inventories</t>
  </si>
  <si>
    <t>Land and development expenditure</t>
  </si>
  <si>
    <t>Trade and other receivables</t>
  </si>
  <si>
    <t>Marketable securities</t>
  </si>
  <si>
    <t xml:space="preserve">Deposits with licensed banks </t>
  </si>
  <si>
    <t>Current portion of term loans</t>
  </si>
  <si>
    <t>Hire purchase creditors</t>
  </si>
  <si>
    <t>Accumulated losses</t>
  </si>
  <si>
    <t>Non Current Liabilities</t>
  </si>
  <si>
    <t>Term loans</t>
  </si>
  <si>
    <t>Net tangible assets per share (RM)</t>
  </si>
  <si>
    <t>Sinking fund reserve</t>
  </si>
  <si>
    <t>Currency translation diferrences</t>
  </si>
  <si>
    <t>There has been no issuance or repayment of debt and equity securities, share buy back, share cancellation,</t>
  </si>
  <si>
    <t>Subsequent material events</t>
  </si>
  <si>
    <t>There were no material event subsequent to the end of the reporting and to the date of this announcement.</t>
  </si>
  <si>
    <t>Trade and other payables</t>
  </si>
  <si>
    <t>Jessica Low Nyoke Fun</t>
  </si>
  <si>
    <t>Deferred taxation transfers</t>
  </si>
  <si>
    <t>Sale of unquoted securities and/ or properties</t>
  </si>
  <si>
    <t>19.</t>
  </si>
  <si>
    <t>21.</t>
  </si>
  <si>
    <t>Purchases and disposals of quoted securities for the current financial period.</t>
  </si>
  <si>
    <t>Total purchases</t>
  </si>
  <si>
    <t>Total disposals</t>
  </si>
  <si>
    <t>Total gain/ (loss) on disposal</t>
  </si>
  <si>
    <t>Nil</t>
  </si>
  <si>
    <t>Total investments in quoted securities are as follows:</t>
  </si>
  <si>
    <t xml:space="preserve">At carrying value/ book value </t>
  </si>
  <si>
    <t>Material litigation</t>
  </si>
  <si>
    <t>There is no pending material litigation as at the date of this announcement which exceeds 5% of the Group's</t>
  </si>
  <si>
    <t>net tangible assets.</t>
  </si>
  <si>
    <t>Overseas business venture</t>
  </si>
  <si>
    <t>22.</t>
  </si>
  <si>
    <t>On 18 August 2001, the Company entered into a Memorandum of Understanding ("MOU") with the People's</t>
  </si>
  <si>
    <t>Government of Songming District, Kunming City in the People's Republic of China for the proposed</t>
  </si>
  <si>
    <t>investment in the development of  a golf and country resort. However, terms and conditions for the proposed</t>
  </si>
  <si>
    <t>investment are still being negotiated and have not been concluded to date.</t>
  </si>
  <si>
    <t>Leslie Lim Siak Kooi</t>
  </si>
  <si>
    <t>31/12/2001</t>
  </si>
  <si>
    <t>Material changes in the quarterly results compared to the preceding quarter</t>
  </si>
  <si>
    <t>The Special Bumiputra Issue ("SBI") of 31,000,000 new ordinary shares of RM1.00 each in Dijaya to</t>
  </si>
  <si>
    <t>Bumiputra investors approved by the Ministry of International Trade and Industry at an issue price of RM1.00</t>
  </si>
  <si>
    <t>per share is still pending implementation.</t>
  </si>
  <si>
    <t>QUARTERLY REPORT ON CONSOLIDATED RESULTS FOR THE FIRST QUARTER</t>
  </si>
  <si>
    <t>ENDED 31 MARCH 2002</t>
  </si>
  <si>
    <t>31/3/2002</t>
  </si>
  <si>
    <t>31/3/2001</t>
  </si>
  <si>
    <t>The first quarter financial statements have been prepared using the same accounting policies and methods of</t>
  </si>
  <si>
    <t>computation as compared with the most recent annual audited financial statements for the year ended 31</t>
  </si>
  <si>
    <t>December 2001 and the accounting policies comply with approved accounting standards of the Malaysian</t>
  </si>
  <si>
    <t>Accounting Standards Board (MASB).</t>
  </si>
  <si>
    <t>There was no exceptional item for the financial period ended 31 March 2002</t>
  </si>
  <si>
    <t>There was no extraordinary item for the financial period ended 31 March 2002</t>
  </si>
  <si>
    <t>The effective rate of taxation of the Group in the current year is higher than the statutory rate of taxation as</t>
  </si>
  <si>
    <t>losses of certain subsidiary companies cannot be set off against profits made by other companies in the Group</t>
  </si>
  <si>
    <t>as no group relief is available.</t>
  </si>
  <si>
    <t>The effective tax rate on the Group’s profit for the previous financial year is lower than the statutory tax rate</t>
  </si>
  <si>
    <t xml:space="preserve">was mainly due to non-taxable capital gain of an associated company. </t>
  </si>
  <si>
    <t>subsidiary company Desiran Realiti Sdn Bhd for a nominal purchase consideration of RM10.00. Pursuant</t>
  </si>
  <si>
    <t>thereto, Desiran Realiti Sdn Bhd became a wholly-owned subsidiary company of Nagasari Cerdas Sdn Bhd.</t>
  </si>
  <si>
    <t>a Share Sale Agreement for the acquisition of the balance 49,000 ordinary shares of RM1.00 each in its</t>
  </si>
  <si>
    <t>On 21 February 2002, Nagasari Cerdas Sdn Bhd, a wholly-owned subsidiary of the Company, entered into</t>
  </si>
  <si>
    <t>On 10 April 2002, Bakat Rampai Sdn Bhd, a wholly-owned subsidiary of the Company, acquired the</t>
  </si>
  <si>
    <t>balance 5,200,000 ordinary shares of RM1.00 each in its subsidiary company Dijaya Land Sdn Bhd for a</t>
  </si>
  <si>
    <t>nominal purchase consideration of RM2.00, thus turning Dijaya Land Sdn Bhd into a wholly- owned</t>
  </si>
  <si>
    <t>subsidiary company of Bakat Rampai Sdn Bhd.</t>
  </si>
  <si>
    <t>shares held as treasury shares and resale of treasury shares during the current financial year to date, other than</t>
  </si>
  <si>
    <t>as mentioned below:</t>
  </si>
  <si>
    <t>Employees’ Share Option Scheme</t>
  </si>
  <si>
    <t>An Employees’ Share Option Scheme was implemented on 26 February 2000 for the benefit of the Executive</t>
  </si>
  <si>
    <t>All borrowings are denominated in Ringgit Malaysia</t>
  </si>
  <si>
    <t>There has been no change in the contingent liabilities since the last annual balance sheet date date to the date</t>
  </si>
  <si>
    <t>of this announcement..</t>
  </si>
  <si>
    <t>RM’000</t>
  </si>
  <si>
    <t>Revenue</t>
  </si>
  <si>
    <t>Consolidated</t>
  </si>
  <si>
    <t>Consolidated profit/ (loss) after taxation and minority interests</t>
  </si>
  <si>
    <t>Consolidated profit/ (loss) before taxation</t>
  </si>
  <si>
    <t>For the quarter ended 31 March 2002, the Group recorded revenue of RM47.8 million and loss before taxation</t>
  </si>
  <si>
    <t xml:space="preserve">The Group has not provided any profit forecast or profit guarantee in a public document. </t>
  </si>
  <si>
    <t>No interim dividend has been recommended for the current quarter. (Q1 2001: Nil).</t>
  </si>
  <si>
    <t>24 May 2002</t>
  </si>
  <si>
    <t>Real property</t>
  </si>
  <si>
    <t>and resort</t>
  </si>
  <si>
    <t>development</t>
  </si>
  <si>
    <t>Engineering</t>
  </si>
  <si>
    <t>and trading</t>
  </si>
  <si>
    <t>Credit and</t>
  </si>
  <si>
    <t>leasing</t>
  </si>
  <si>
    <t>Internet-related</t>
  </si>
  <si>
    <t>ventures</t>
  </si>
  <si>
    <t>REVENUE AND EXPENSES</t>
  </si>
  <si>
    <t>External sales</t>
  </si>
  <si>
    <t>Inter-segment sales</t>
  </si>
  <si>
    <t>Total revenue</t>
  </si>
  <si>
    <t>Result</t>
  </si>
  <si>
    <t>Segment results</t>
  </si>
  <si>
    <t>Unallocated corporate expenses</t>
  </si>
  <si>
    <t>Profit from operations</t>
  </si>
  <si>
    <t>Finance cost, net</t>
  </si>
  <si>
    <t>Share of results of associated companies</t>
  </si>
  <si>
    <t>Profit after taxation</t>
  </si>
  <si>
    <t>ASSETS AND LIABILITIES</t>
  </si>
  <si>
    <t>Segment assets</t>
  </si>
  <si>
    <t>Investment in equity method of associates</t>
  </si>
  <si>
    <t>Unallocated corporate assets</t>
  </si>
  <si>
    <t>Consolidated total assets</t>
  </si>
  <si>
    <t>Segments liabilities</t>
  </si>
  <si>
    <t>Unallocated corporate liabilities</t>
  </si>
  <si>
    <t>Consolidated total liabilities</t>
  </si>
  <si>
    <t>OTHER INFORMATION</t>
  </si>
  <si>
    <t>Depreciation</t>
  </si>
  <si>
    <t>Amortisation</t>
  </si>
  <si>
    <t>Non-cash expenses other than depreciation</t>
  </si>
  <si>
    <t>Profit from ordinary activities</t>
  </si>
  <si>
    <t>Provision for diminution of investments</t>
  </si>
  <si>
    <t>Loss on sale of investments</t>
  </si>
  <si>
    <t>Minority interest</t>
  </si>
  <si>
    <t>Profit attributable to shareholders</t>
  </si>
  <si>
    <t>Business Segment</t>
  </si>
  <si>
    <t>Geographical Segment</t>
  </si>
  <si>
    <t>Malaysia</t>
  </si>
  <si>
    <t>Hong Kong</t>
  </si>
  <si>
    <t>British Virgin</t>
  </si>
  <si>
    <t>Island</t>
  </si>
  <si>
    <t>Total revenue from external customers</t>
  </si>
  <si>
    <t>The information on each of the Group's business and geographical segments as at 31 March 2002 is as follows:</t>
  </si>
  <si>
    <t>The Group registered a pre-tax loss of RM32.5 million for the current quarter compared to RM7.8 million in</t>
  </si>
  <si>
    <t>of RM32.5 million. In the corresponding period last year, the Group reported a profit before taxation of</t>
  </si>
  <si>
    <t>RM31.2 million based on revenue of RM47.2 million. The loss for the current period was mainly attributable</t>
  </si>
  <si>
    <t>to provision made for diminution in value of quoted securities and losses arising from disposal of quoted</t>
  </si>
  <si>
    <t>Directors and eligible employees of the Company and its subsidiary companies. As at end of the current</t>
  </si>
  <si>
    <t>quarter, the Company has 2,208,000 and 4,152,000 unissued ordinary shares under option at exercise prices of</t>
  </si>
  <si>
    <t>RM3.266 and RM1.05 per share respectively.</t>
  </si>
  <si>
    <t>Despite the losses incurred for the quarter ended 31 March 2002, operating performance is generally expected</t>
  </si>
  <si>
    <t>to improve The real property and resort development segment is expected to improve its earnings as a result of</t>
  </si>
  <si>
    <t>sales achieved to date and progressive completion of its existing developments..</t>
  </si>
  <si>
    <t>Fully diluted (based on 259,561,062 ordinary</t>
  </si>
  <si>
    <t>a.</t>
  </si>
  <si>
    <t>2,208,000 option shares at an exercise price of RM3.266 per share, the effects on the basic earnings per share</t>
  </si>
  <si>
    <t>for the current financial period arising from their assumed exercise is anti-dilutive.</t>
  </si>
  <si>
    <t>b.</t>
  </si>
  <si>
    <t>4,152,000 option shares at an exercise price of RM1.05 per share which has a dilutive effect from their</t>
  </si>
  <si>
    <t>The Company has the following outstanding shares options granted to eligible executive directors and</t>
  </si>
  <si>
    <t>employees:-</t>
  </si>
  <si>
    <t>assumed exercise.based on the closing price of the Company's shares on 31 March 2002.</t>
  </si>
  <si>
    <t>No sale of unquoted securities or property outside the ordinary course of business of the Group took place</t>
  </si>
  <si>
    <t>during the financial quarter under review.</t>
  </si>
  <si>
    <t>the preceding quarter. The higher loss was due to losses arising from disposal of quoted shares and provision</t>
  </si>
  <si>
    <t>for diminution in value of quoted investments. Other than the investment holding division, all other operating</t>
  </si>
  <si>
    <t>business segments have actually been profitable, especially the core business segment ie. real property and</t>
  </si>
  <si>
    <t>resort development which registered a pre-tax profit of RM7.6 million for the current quarter.</t>
  </si>
  <si>
    <t>shares. In view of the improved stock market condition, a decision was taken at today's Board meeting to provide against these quoted shares, which were classified as long term; as it is the Group's intention to sell these quoted shares to build up cash reserves for working capital purposes.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</si>
</sst>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  <numFmt numFmtId="181" formatCode="_-* #,##0_-;\-* #,##0_-;_-* &quot;-&quot;_-;_-@_-"/>
    <numFmt numFmtId="182" formatCode="_-* #,##0\ _F_-;\-* #,##0\ _F_-;_-* &quot;-&quot;\ _F_-;_-@_-"/>
    <numFmt numFmtId="183" formatCode="_-* #,##0.00_-;\-* #,##0.00_-;_-* &quot;-&quot;??_-;_-@_-"/>
    <numFmt numFmtId="184" formatCode="_-* #,##0.00\ _F_-;\-* #,##0.00\ _F_-;_-* &quot;-&quot;??\ _F_-;_-@_-"/>
    <numFmt numFmtId="185" formatCode="_-&quot;£&quot;* #,##0_-;\-&quot;£&quot;* #,##0_-;_-&quot;£&quot;* &quot;-&quot;_-;_-@_-"/>
    <numFmt numFmtId="186" formatCode="&quot;ß&quot;#,##0;[Red]\-&quot;ß&quot;#,##0"/>
    <numFmt numFmtId="187" formatCode="_-&quot;ß&quot;* #,##0_-;\-&quot;ß&quot;* #,##0_-;_-&quot;ß&quot;* &quot;-&quot;_-;_-@_-"/>
    <numFmt numFmtId="188" formatCode="_-* #,##0\ &quot;F&quot;_-;\-* #,##0\ &quot;F&quot;_-;_-* &quot;-&quot;\ &quot;F&quot;_-;_-@_-"/>
    <numFmt numFmtId="189" formatCode="_-&quot;£&quot;* #,##0.00_-;\-&quot;£&quot;* #,##0.00_-;_-&quot;£&quot;* &quot;-&quot;??_-;_-@_-"/>
    <numFmt numFmtId="190" formatCode="&quot;ß&quot;#,##0.00;[Red]\-&quot;ß&quot;#,##0.00"/>
    <numFmt numFmtId="191" formatCode="_-&quot;ß&quot;* #,##0.00_-;\-&quot;ß&quot;* #,##0.00_-;_-&quot;ß&quot;* &quot;-&quot;??_-;_-@_-"/>
    <numFmt numFmtId="192" formatCode="_-* #,##0.00\ &quot;F&quot;_-;\-* #,##0.00\ &quot;F&quot;_-;_-* &quot;-&quot;??\ &quot;F&quot;_-;_-@_-"/>
    <numFmt numFmtId="193" formatCode="#,##0.00&quot; $&quot;;[Red]\-#,##0.00&quot; $&quot;"/>
    <numFmt numFmtId="194" formatCode="0.00_)"/>
    <numFmt numFmtId="195" formatCode="General_)"/>
    <numFmt numFmtId="196" formatCode="dd/mm/yy"/>
    <numFmt numFmtId="197" formatCode="dd/mm/yyyy"/>
    <numFmt numFmtId="198" formatCode="_(* #,##0.000_);_(* \(#,##0.000\);_(* &quot;-&quot;??_);_(@_)"/>
    <numFmt numFmtId="199" formatCode="_(* #,##0.000_);_(* \(#,##0.000\);_(* &quot;-&quot;?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9"/>
      <name val="Garamond"/>
      <family val="1"/>
    </font>
    <font>
      <i/>
      <sz val="12"/>
      <name val="Garamond"/>
      <family val="1"/>
    </font>
    <font>
      <b/>
      <sz val="12"/>
      <color indexed="48"/>
      <name val="Garamond"/>
      <family val="1"/>
    </font>
    <font>
      <sz val="12"/>
      <color indexed="4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2"/>
      <name val="Garamond"/>
      <family val="1"/>
    </font>
    <font>
      <sz val="11"/>
      <name val="Garamond"/>
      <family val="1"/>
    </font>
    <font>
      <i/>
      <sz val="11"/>
      <name val="Garamond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0" xfId="15" applyNumberFormat="1" applyFont="1" applyAlignment="1">
      <alignment/>
    </xf>
    <xf numFmtId="179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9" fontId="8" fillId="0" borderId="0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9" fontId="8" fillId="0" borderId="2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 horizontal="left" indent="2"/>
    </xf>
    <xf numFmtId="179" fontId="7" fillId="0" borderId="3" xfId="15" applyNumberFormat="1" applyFont="1" applyBorder="1" applyAlignment="1">
      <alignment/>
    </xf>
    <xf numFmtId="179" fontId="7" fillId="0" borderId="4" xfId="15" applyNumberFormat="1" applyFont="1" applyBorder="1" applyAlignment="1">
      <alignment/>
    </xf>
    <xf numFmtId="179" fontId="7" fillId="0" borderId="5" xfId="15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6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9" fontId="7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179" fontId="7" fillId="0" borderId="6" xfId="15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9" fontId="7" fillId="0" borderId="7" xfId="15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left" indent="3"/>
    </xf>
    <xf numFmtId="179" fontId="6" fillId="0" borderId="8" xfId="15" applyNumberFormat="1" applyFont="1" applyBorder="1" applyAlignment="1">
      <alignment/>
    </xf>
    <xf numFmtId="43" fontId="6" fillId="0" borderId="1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9" xfId="15" applyNumberFormat="1" applyFont="1" applyBorder="1" applyAlignment="1">
      <alignment/>
    </xf>
    <xf numFmtId="179" fontId="7" fillId="0" borderId="0" xfId="15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>
      <alignment/>
    </xf>
    <xf numFmtId="179" fontId="7" fillId="0" borderId="0" xfId="15" applyNumberFormat="1" applyFont="1" applyFill="1" applyAlignment="1" quotePrefix="1">
      <alignment horizontal="right"/>
    </xf>
    <xf numFmtId="179" fontId="7" fillId="0" borderId="6" xfId="0" applyNumberFormat="1" applyFont="1" applyFill="1" applyBorder="1" applyAlignment="1">
      <alignment/>
    </xf>
    <xf numFmtId="179" fontId="7" fillId="0" borderId="2" xfId="15" applyNumberFormat="1" applyFont="1" applyFill="1" applyBorder="1" applyAlignment="1" quotePrefix="1">
      <alignment horizontal="right"/>
    </xf>
    <xf numFmtId="179" fontId="7" fillId="0" borderId="0" xfId="15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197" fontId="12" fillId="0" borderId="0" xfId="0" applyNumberFormat="1" applyFont="1" applyAlignment="1">
      <alignment horizontal="center"/>
    </xf>
    <xf numFmtId="179" fontId="12" fillId="0" borderId="0" xfId="15" applyNumberFormat="1" applyFont="1" applyAlignment="1">
      <alignment/>
    </xf>
    <xf numFmtId="179" fontId="12" fillId="0" borderId="0" xfId="15" applyNumberFormat="1" applyFont="1" applyFill="1" applyAlignment="1">
      <alignment/>
    </xf>
    <xf numFmtId="198" fontId="13" fillId="0" borderId="0" xfId="15" applyNumberFormat="1" applyFont="1" applyAlignment="1">
      <alignment/>
    </xf>
    <xf numFmtId="179" fontId="13" fillId="0" borderId="0" xfId="15" applyNumberFormat="1" applyFont="1" applyAlignment="1">
      <alignment/>
    </xf>
    <xf numFmtId="179" fontId="13" fillId="0" borderId="3" xfId="15" applyNumberFormat="1" applyFont="1" applyBorder="1" applyAlignment="1">
      <alignment/>
    </xf>
    <xf numFmtId="179" fontId="13" fillId="0" borderId="4" xfId="15" applyNumberFormat="1" applyFont="1" applyBorder="1" applyAlignment="1">
      <alignment/>
    </xf>
    <xf numFmtId="179" fontId="13" fillId="0" borderId="5" xfId="15" applyNumberFormat="1" applyFont="1" applyBorder="1" applyAlignment="1">
      <alignment/>
    </xf>
    <xf numFmtId="179" fontId="12" fillId="0" borderId="8" xfId="15" applyNumberFormat="1" applyFont="1" applyBorder="1" applyAlignment="1">
      <alignment/>
    </xf>
    <xf numFmtId="179" fontId="13" fillId="0" borderId="6" xfId="15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179" fontId="7" fillId="0" borderId="6" xfId="15" applyNumberFormat="1" applyFont="1" applyFill="1" applyBorder="1" applyAlignment="1">
      <alignment/>
    </xf>
    <xf numFmtId="179" fontId="7" fillId="0" borderId="9" xfId="15" applyNumberFormat="1" applyFont="1" applyBorder="1" applyAlignment="1">
      <alignment horizontal="center"/>
    </xf>
    <xf numFmtId="179" fontId="7" fillId="0" borderId="0" xfId="15" applyNumberFormat="1" applyFont="1" applyBorder="1" applyAlignment="1">
      <alignment horizontal="right"/>
    </xf>
    <xf numFmtId="179" fontId="7" fillId="0" borderId="0" xfId="15" applyNumberFormat="1" applyFont="1" applyFill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179" fontId="6" fillId="0" borderId="0" xfId="15" applyNumberFormat="1" applyFont="1" applyBorder="1" applyAlignment="1">
      <alignment horizontal="center"/>
    </xf>
    <xf numFmtId="179" fontId="6" fillId="0" borderId="0" xfId="15" applyNumberFormat="1" applyFont="1" applyBorder="1" applyAlignment="1">
      <alignment/>
    </xf>
    <xf numFmtId="179" fontId="6" fillId="0" borderId="9" xfId="15" applyNumberFormat="1" applyFont="1" applyBorder="1" applyAlignment="1">
      <alignment horizontal="center"/>
    </xf>
    <xf numFmtId="179" fontId="6" fillId="0" borderId="6" xfId="15" applyNumberFormat="1" applyFont="1" applyBorder="1" applyAlignment="1">
      <alignment horizontal="center"/>
    </xf>
    <xf numFmtId="179" fontId="6" fillId="0" borderId="7" xfId="15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9" fontId="7" fillId="0" borderId="0" xfId="15" applyNumberFormat="1" applyFont="1" applyBorder="1" applyAlignment="1">
      <alignment vertical="top" wrapText="1"/>
    </xf>
    <xf numFmtId="179" fontId="7" fillId="0" borderId="0" xfId="15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14" fontId="19" fillId="0" borderId="0" xfId="0" applyNumberFormat="1" applyFont="1" applyBorder="1" applyAlignment="1" quotePrefix="1">
      <alignment horizontal="center"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6" xfId="15" applyNumberFormat="1" applyFont="1" applyFill="1" applyBorder="1" applyAlignment="1">
      <alignment/>
    </xf>
    <xf numFmtId="0" fontId="17" fillId="0" borderId="0" xfId="0" applyFont="1" applyAlignment="1">
      <alignment/>
    </xf>
    <xf numFmtId="179" fontId="18" fillId="0" borderId="0" xfId="15" applyNumberFormat="1" applyFont="1" applyAlignment="1">
      <alignment horizontal="center"/>
    </xf>
    <xf numFmtId="179" fontId="5" fillId="0" borderId="0" xfId="15" applyNumberFormat="1" applyFont="1" applyAlignment="1">
      <alignment horizontal="center"/>
    </xf>
    <xf numFmtId="179" fontId="7" fillId="0" borderId="6" xfId="15" applyNumberFormat="1" applyFont="1" applyBorder="1" applyAlignment="1">
      <alignment/>
    </xf>
    <xf numFmtId="179" fontId="7" fillId="0" borderId="2" xfId="15" applyNumberFormat="1" applyFont="1" applyBorder="1" applyAlignment="1">
      <alignment/>
    </xf>
    <xf numFmtId="0" fontId="7" fillId="0" borderId="0" xfId="0" applyFont="1" applyFill="1" applyAlignment="1">
      <alignment horizontal="left" vertical="justify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view="pageBreakPreview" zoomScaleSheetLayoutView="100" workbookViewId="0" topLeftCell="A132">
      <selection activeCell="D142" sqref="D142"/>
    </sheetView>
  </sheetViews>
  <sheetFormatPr defaultColWidth="9.140625" defaultRowHeight="12.75"/>
  <cols>
    <col min="1" max="1" width="9.140625" style="5" customWidth="1"/>
    <col min="2" max="3" width="2.7109375" style="5" customWidth="1"/>
    <col min="4" max="4" width="45.7109375" style="5" customWidth="1"/>
    <col min="5" max="7" width="13.28125" style="6" customWidth="1"/>
    <col min="8" max="8" width="13.28125" style="3" customWidth="1"/>
    <col min="9" max="16384" width="9.140625" style="3" customWidth="1"/>
  </cols>
  <sheetData>
    <row r="2" ht="15">
      <c r="B2" s="2" t="s">
        <v>108</v>
      </c>
    </row>
    <row r="3" ht="15">
      <c r="B3" s="31" t="s">
        <v>80</v>
      </c>
    </row>
    <row r="4" ht="15">
      <c r="B4" s="3"/>
    </row>
    <row r="5" ht="15">
      <c r="B5" s="4" t="s">
        <v>184</v>
      </c>
    </row>
    <row r="6" spans="2:8" ht="15">
      <c r="B6" s="7" t="s">
        <v>185</v>
      </c>
      <c r="C6" s="8"/>
      <c r="D6" s="8"/>
      <c r="E6" s="9"/>
      <c r="F6" s="9"/>
      <c r="G6" s="9"/>
      <c r="H6" s="9"/>
    </row>
    <row r="7" ht="15">
      <c r="B7" s="5" t="s">
        <v>0</v>
      </c>
    </row>
    <row r="9" ht="15">
      <c r="B9" s="4" t="s">
        <v>1</v>
      </c>
    </row>
    <row r="10" spans="2:8" ht="15">
      <c r="B10" s="4"/>
      <c r="E10" s="115" t="s">
        <v>100</v>
      </c>
      <c r="F10" s="115"/>
      <c r="G10" s="115" t="s">
        <v>101</v>
      </c>
      <c r="H10" s="115"/>
    </row>
    <row r="11" spans="5:8" ht="15">
      <c r="E11" s="51"/>
      <c r="F11" s="51" t="s">
        <v>106</v>
      </c>
      <c r="G11" s="1"/>
      <c r="H11" s="52" t="s">
        <v>106</v>
      </c>
    </row>
    <row r="12" spans="5:8" ht="15">
      <c r="E12" s="51" t="s">
        <v>84</v>
      </c>
      <c r="F12" s="51" t="s">
        <v>107</v>
      </c>
      <c r="G12" s="51" t="s">
        <v>84</v>
      </c>
      <c r="H12" s="51" t="s">
        <v>107</v>
      </c>
    </row>
    <row r="13" spans="5:8" ht="15">
      <c r="E13" s="51" t="s">
        <v>102</v>
      </c>
      <c r="F13" s="52" t="s">
        <v>103</v>
      </c>
      <c r="G13" s="51" t="s">
        <v>102</v>
      </c>
      <c r="H13" s="51" t="s">
        <v>103</v>
      </c>
    </row>
    <row r="14" spans="5:8" ht="15">
      <c r="E14" s="51" t="s">
        <v>2</v>
      </c>
      <c r="F14" s="51" t="s">
        <v>2</v>
      </c>
      <c r="G14" s="51" t="s">
        <v>104</v>
      </c>
      <c r="H14" s="51" t="s">
        <v>105</v>
      </c>
    </row>
    <row r="15" spans="5:8" ht="15">
      <c r="E15" s="53" t="s">
        <v>186</v>
      </c>
      <c r="F15" s="53" t="s">
        <v>187</v>
      </c>
      <c r="G15" s="53" t="s">
        <v>186</v>
      </c>
      <c r="H15" s="53" t="s">
        <v>187</v>
      </c>
    </row>
    <row r="16" spans="5:8" ht="15">
      <c r="E16" s="51" t="s">
        <v>3</v>
      </c>
      <c r="F16" s="51" t="s">
        <v>3</v>
      </c>
      <c r="G16" s="51" t="s">
        <v>3</v>
      </c>
      <c r="H16" s="51" t="s">
        <v>3</v>
      </c>
    </row>
    <row r="17" spans="5:7" ht="15">
      <c r="E17" s="41"/>
      <c r="F17" s="41"/>
      <c r="G17" s="41"/>
    </row>
    <row r="18" spans="2:8" ht="15">
      <c r="B18" s="42" t="s">
        <v>4</v>
      </c>
      <c r="C18" s="5" t="s">
        <v>5</v>
      </c>
      <c r="D18" s="5" t="s">
        <v>6</v>
      </c>
      <c r="E18" s="87">
        <v>47801</v>
      </c>
      <c r="F18" s="43">
        <v>47204</v>
      </c>
      <c r="G18" s="87">
        <v>47801</v>
      </c>
      <c r="H18" s="59">
        <v>47204</v>
      </c>
    </row>
    <row r="19" spans="3:8" ht="15">
      <c r="C19" s="5" t="s">
        <v>7</v>
      </c>
      <c r="D19" s="5" t="s">
        <v>8</v>
      </c>
      <c r="E19" s="87">
        <v>0</v>
      </c>
      <c r="F19" s="43">
        <v>0</v>
      </c>
      <c r="G19" s="88">
        <v>0</v>
      </c>
      <c r="H19" s="59">
        <v>0</v>
      </c>
    </row>
    <row r="20" spans="3:8" ht="15.75" thickBot="1">
      <c r="C20" s="5" t="s">
        <v>9</v>
      </c>
      <c r="D20" s="5" t="s">
        <v>111</v>
      </c>
      <c r="E20" s="89">
        <v>26325</v>
      </c>
      <c r="F20" s="82">
        <v>5432</v>
      </c>
      <c r="G20" s="89">
        <v>26325</v>
      </c>
      <c r="H20" s="60">
        <v>5432</v>
      </c>
    </row>
    <row r="21" spans="5:7" ht="15">
      <c r="E21" s="87"/>
      <c r="F21" s="3"/>
      <c r="G21" s="87"/>
    </row>
    <row r="22" spans="2:8" ht="15">
      <c r="B22" s="42" t="s">
        <v>10</v>
      </c>
      <c r="C22" s="5" t="s">
        <v>5</v>
      </c>
      <c r="D22" s="5" t="s">
        <v>112</v>
      </c>
      <c r="E22" s="87">
        <v>-28353</v>
      </c>
      <c r="F22" s="59">
        <v>5928</v>
      </c>
      <c r="G22" s="87">
        <v>-28353</v>
      </c>
      <c r="H22" s="59">
        <v>5928</v>
      </c>
    </row>
    <row r="23" spans="4:7" ht="15">
      <c r="D23" s="44" t="s">
        <v>119</v>
      </c>
      <c r="E23" s="87"/>
      <c r="F23" s="3"/>
      <c r="G23" s="87"/>
    </row>
    <row r="24" spans="4:7" ht="15">
      <c r="D24" s="44" t="s">
        <v>118</v>
      </c>
      <c r="E24" s="2"/>
      <c r="F24" s="3"/>
      <c r="G24" s="34"/>
    </row>
    <row r="25" spans="3:8" ht="15">
      <c r="C25" s="5" t="s">
        <v>7</v>
      </c>
      <c r="D25" s="5" t="s">
        <v>113</v>
      </c>
      <c r="E25" s="87">
        <v>-3363</v>
      </c>
      <c r="F25" s="43">
        <v>-3243</v>
      </c>
      <c r="G25" s="88">
        <v>-3363</v>
      </c>
      <c r="H25" s="59">
        <v>-3243</v>
      </c>
    </row>
    <row r="26" spans="3:8" ht="15">
      <c r="C26" s="5" t="s">
        <v>9</v>
      </c>
      <c r="D26" s="5" t="s">
        <v>11</v>
      </c>
      <c r="E26" s="87">
        <v>-1217</v>
      </c>
      <c r="F26" s="43">
        <v>-1520</v>
      </c>
      <c r="G26" s="88">
        <v>-1217</v>
      </c>
      <c r="H26" s="59">
        <v>-1520</v>
      </c>
    </row>
    <row r="27" spans="3:8" ht="15">
      <c r="C27" s="5" t="s">
        <v>12</v>
      </c>
      <c r="D27" s="5" t="s">
        <v>13</v>
      </c>
      <c r="E27" s="87">
        <v>0</v>
      </c>
      <c r="F27" s="83"/>
      <c r="G27" s="59">
        <v>0</v>
      </c>
      <c r="H27" s="59">
        <v>0</v>
      </c>
    </row>
    <row r="28" spans="3:8" ht="15.75" customHeight="1">
      <c r="C28" s="5" t="s">
        <v>14</v>
      </c>
      <c r="D28" s="5" t="s">
        <v>117</v>
      </c>
      <c r="E28" s="90">
        <f>SUM(E22:E27)</f>
        <v>-32933</v>
      </c>
      <c r="F28" s="45">
        <f>SUM(F22:F27)</f>
        <v>1165</v>
      </c>
      <c r="G28" s="90">
        <f>SUM(G22:G27)</f>
        <v>-32933</v>
      </c>
      <c r="H28" s="45">
        <f>SUM(H22:H27)</f>
        <v>1165</v>
      </c>
    </row>
    <row r="29" spans="4:7" ht="15">
      <c r="D29" s="44" t="s">
        <v>116</v>
      </c>
      <c r="E29" s="87"/>
      <c r="F29" s="3"/>
      <c r="G29" s="87"/>
    </row>
    <row r="30" spans="3:8" ht="15">
      <c r="C30" s="5" t="s">
        <v>15</v>
      </c>
      <c r="D30" s="5" t="s">
        <v>114</v>
      </c>
      <c r="E30" s="87"/>
      <c r="F30" s="43"/>
      <c r="G30" s="87"/>
      <c r="H30" s="43"/>
    </row>
    <row r="31" spans="4:8" ht="15">
      <c r="D31" s="44" t="s">
        <v>115</v>
      </c>
      <c r="E31" s="87">
        <v>480</v>
      </c>
      <c r="F31" s="43">
        <v>30046</v>
      </c>
      <c r="G31" s="88">
        <v>480</v>
      </c>
      <c r="H31" s="59">
        <v>30046</v>
      </c>
    </row>
    <row r="32" spans="3:8" ht="15.75" customHeight="1">
      <c r="C32" s="5" t="s">
        <v>16</v>
      </c>
      <c r="D32" s="5" t="s">
        <v>117</v>
      </c>
      <c r="E32" s="90">
        <f>SUM(E28:E31)</f>
        <v>-32453</v>
      </c>
      <c r="F32" s="45">
        <f>SUM(F28:F31)</f>
        <v>31211</v>
      </c>
      <c r="G32" s="90">
        <f>SUM(G28:G31)</f>
        <v>-32453</v>
      </c>
      <c r="H32" s="45">
        <f>SUM(H28:H31)</f>
        <v>31211</v>
      </c>
    </row>
    <row r="33" spans="4:8" ht="14.25" customHeight="1">
      <c r="D33" s="44" t="s">
        <v>116</v>
      </c>
      <c r="E33" s="87"/>
      <c r="F33" s="43"/>
      <c r="G33" s="87"/>
      <c r="H33" s="43"/>
    </row>
    <row r="34" spans="3:8" ht="15">
      <c r="C34" s="5" t="s">
        <v>17</v>
      </c>
      <c r="D34" s="5" t="s">
        <v>120</v>
      </c>
      <c r="E34" s="87">
        <v>-1858</v>
      </c>
      <c r="F34" s="59">
        <v>-1419</v>
      </c>
      <c r="G34" s="87">
        <v>-1858</v>
      </c>
      <c r="H34" s="59">
        <v>-1419</v>
      </c>
    </row>
    <row r="35" spans="3:8" ht="15.75" customHeight="1">
      <c r="C35" s="5" t="s">
        <v>19</v>
      </c>
      <c r="D35" s="5" t="s">
        <v>122</v>
      </c>
      <c r="E35" s="90">
        <f>SUM(E32:E34)</f>
        <v>-34311</v>
      </c>
      <c r="F35" s="45">
        <f>SUM(F32:F34)</f>
        <v>29792</v>
      </c>
      <c r="G35" s="90">
        <f>SUM(G32:G34)</f>
        <v>-34311</v>
      </c>
      <c r="H35" s="45">
        <f>SUM(H32:H34)</f>
        <v>29792</v>
      </c>
    </row>
    <row r="36" spans="4:8" ht="14.25" customHeight="1">
      <c r="D36" s="56" t="s">
        <v>121</v>
      </c>
      <c r="E36" s="87"/>
      <c r="F36" s="43"/>
      <c r="G36" s="87"/>
      <c r="H36" s="43"/>
    </row>
    <row r="37" spans="4:8" ht="15">
      <c r="D37" s="5" t="s">
        <v>123</v>
      </c>
      <c r="E37" s="87">
        <v>-525</v>
      </c>
      <c r="F37" s="59">
        <v>-674</v>
      </c>
      <c r="G37" s="87">
        <v>-525</v>
      </c>
      <c r="H37" s="59">
        <v>-674</v>
      </c>
    </row>
    <row r="38" spans="3:8" ht="15.75" customHeight="1">
      <c r="C38" s="5" t="s">
        <v>20</v>
      </c>
      <c r="D38" s="5" t="s">
        <v>124</v>
      </c>
      <c r="E38" s="90">
        <f>SUM(E35:E37)</f>
        <v>-34836</v>
      </c>
      <c r="F38" s="45">
        <f>SUM(F35:F37)</f>
        <v>29118</v>
      </c>
      <c r="G38" s="90">
        <f>SUM(G35:G37)</f>
        <v>-34836</v>
      </c>
      <c r="H38" s="45">
        <f>SUM(H35:H37)</f>
        <v>29118</v>
      </c>
    </row>
    <row r="39" spans="4:8" ht="14.25" customHeight="1">
      <c r="D39" s="44" t="s">
        <v>125</v>
      </c>
      <c r="E39" s="87"/>
      <c r="F39" s="43"/>
      <c r="G39" s="87"/>
      <c r="H39" s="43"/>
    </row>
    <row r="40" spans="3:8" ht="15">
      <c r="C40" s="5" t="s">
        <v>21</v>
      </c>
      <c r="D40" s="5" t="s">
        <v>126</v>
      </c>
      <c r="E40" s="87">
        <v>0</v>
      </c>
      <c r="F40" s="43">
        <v>0</v>
      </c>
      <c r="G40" s="87">
        <v>0</v>
      </c>
      <c r="H40" s="43">
        <v>0</v>
      </c>
    </row>
    <row r="41" spans="4:8" ht="15">
      <c r="D41" s="5" t="s">
        <v>123</v>
      </c>
      <c r="E41" s="87">
        <v>0</v>
      </c>
      <c r="F41" s="43">
        <v>0</v>
      </c>
      <c r="G41" s="87">
        <v>0</v>
      </c>
      <c r="H41" s="43">
        <v>0</v>
      </c>
    </row>
    <row r="42" spans="4:8" ht="15">
      <c r="D42" s="5" t="s">
        <v>127</v>
      </c>
      <c r="E42" s="87"/>
      <c r="F42" s="43"/>
      <c r="G42" s="87"/>
      <c r="H42" s="43"/>
    </row>
    <row r="43" spans="4:8" ht="15">
      <c r="D43" s="56" t="s">
        <v>128</v>
      </c>
      <c r="E43" s="87">
        <v>0</v>
      </c>
      <c r="F43" s="43">
        <v>0</v>
      </c>
      <c r="G43" s="87">
        <v>0</v>
      </c>
      <c r="H43" s="43">
        <v>0</v>
      </c>
    </row>
    <row r="44" spans="3:8" ht="31.5" thickBot="1">
      <c r="C44" s="46" t="s">
        <v>23</v>
      </c>
      <c r="D44" s="47" t="s">
        <v>129</v>
      </c>
      <c r="E44" s="91">
        <f>SUM(E38:E43)</f>
        <v>-34836</v>
      </c>
      <c r="F44" s="48">
        <f>SUM(F38:F43)</f>
        <v>29118</v>
      </c>
      <c r="G44" s="91">
        <f>SUM(G38:G43)</f>
        <v>-34836</v>
      </c>
      <c r="H44" s="48">
        <f>SUM(H38:H43)</f>
        <v>29118</v>
      </c>
    </row>
    <row r="45" spans="5:7" ht="15">
      <c r="E45" s="41"/>
      <c r="G45" s="92"/>
    </row>
    <row r="46" spans="2:7" ht="15">
      <c r="B46" s="42" t="s">
        <v>24</v>
      </c>
      <c r="C46" s="5" t="s">
        <v>130</v>
      </c>
      <c r="D46" s="3"/>
      <c r="E46" s="41"/>
      <c r="G46" s="41"/>
    </row>
    <row r="47" spans="3:7" ht="15">
      <c r="C47" s="5" t="s">
        <v>19</v>
      </c>
      <c r="D47" s="5" t="s">
        <v>132</v>
      </c>
      <c r="E47" s="2"/>
      <c r="F47" s="3"/>
      <c r="G47" s="2"/>
    </row>
    <row r="48" spans="4:8" ht="15">
      <c r="D48" s="44" t="s">
        <v>131</v>
      </c>
      <c r="E48" s="93">
        <f>(E44/259502.583)*100</f>
        <v>-13.424143835978697</v>
      </c>
      <c r="F48" s="49">
        <f>(F44/259502.583)*100</f>
        <v>11.220697560455497</v>
      </c>
      <c r="G48" s="93">
        <f>(G44/259502.583)*100</f>
        <v>-13.424143835978697</v>
      </c>
      <c r="H48" s="49">
        <f>(H44/259502.583)*100</f>
        <v>11.220697560455497</v>
      </c>
    </row>
    <row r="49" spans="3:7" ht="15">
      <c r="C49" s="5" t="s">
        <v>93</v>
      </c>
      <c r="D49" s="5" t="s">
        <v>278</v>
      </c>
      <c r="E49" s="2"/>
      <c r="F49" s="3"/>
      <c r="G49" s="2"/>
    </row>
    <row r="50" spans="4:8" ht="15">
      <c r="D50" s="44" t="s">
        <v>131</v>
      </c>
      <c r="E50" s="93">
        <f>(E44/259561.062)*100</f>
        <v>-13.421119381920235</v>
      </c>
      <c r="F50" s="49">
        <f>(F44/262104.583)*100</f>
        <v>11.109305936859561</v>
      </c>
      <c r="G50" s="93">
        <f>(G44/259561.062)*100</f>
        <v>-13.421119381920235</v>
      </c>
      <c r="H50" s="49">
        <f>(H44/262104.583)*100</f>
        <v>11.109305936859561</v>
      </c>
    </row>
    <row r="51" spans="3:7" ht="15">
      <c r="C51" s="5" t="s">
        <v>133</v>
      </c>
      <c r="E51" s="50"/>
      <c r="F51" s="50"/>
      <c r="G51" s="50"/>
    </row>
    <row r="52" spans="3:7" ht="15">
      <c r="C52" s="5" t="s">
        <v>284</v>
      </c>
      <c r="E52" s="50"/>
      <c r="F52" s="50"/>
      <c r="G52" s="50"/>
    </row>
    <row r="53" spans="3:7" ht="15">
      <c r="C53" s="5" t="s">
        <v>285</v>
      </c>
      <c r="E53" s="50"/>
      <c r="F53" s="50"/>
      <c r="G53" s="50"/>
    </row>
    <row r="54" spans="3:7" ht="15">
      <c r="C54" s="5" t="s">
        <v>279</v>
      </c>
      <c r="D54" s="5" t="s">
        <v>280</v>
      </c>
      <c r="E54" s="50"/>
      <c r="F54" s="50"/>
      <c r="G54" s="50"/>
    </row>
    <row r="55" ht="15">
      <c r="D55" s="5" t="s">
        <v>281</v>
      </c>
    </row>
    <row r="56" spans="3:4" ht="15">
      <c r="C56" s="5" t="s">
        <v>282</v>
      </c>
      <c r="D56" s="5" t="s">
        <v>283</v>
      </c>
    </row>
    <row r="57" ht="15">
      <c r="D57" s="5" t="s">
        <v>286</v>
      </c>
    </row>
  </sheetData>
  <mergeCells count="2">
    <mergeCell ref="E10:F10"/>
    <mergeCell ref="G10:H10"/>
  </mergeCells>
  <printOptions/>
  <pageMargins left="0.51" right="0" top="0.5" bottom="0.5" header="0" footer="0.25"/>
  <pageSetup fitToHeight="1" fitToWidth="1" horizontalDpi="300" verticalDpi="300" orientation="portrait" paperSize="9" scale="92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66"/>
  <sheetViews>
    <sheetView zoomScaleSheetLayoutView="100" workbookViewId="0" topLeftCell="A48">
      <selection activeCell="E63" sqref="E63"/>
    </sheetView>
  </sheetViews>
  <sheetFormatPr defaultColWidth="9.140625" defaultRowHeight="12.75"/>
  <cols>
    <col min="1" max="1" width="9.140625" style="3" customWidth="1"/>
    <col min="2" max="2" width="60.7109375" style="3" customWidth="1"/>
    <col min="3" max="3" width="13.7109375" style="3" customWidth="1"/>
    <col min="4" max="4" width="5.7109375" style="3" customWidth="1"/>
    <col min="5" max="5" width="13.7109375" style="3" customWidth="1"/>
    <col min="6" max="16384" width="9.140625" style="3" customWidth="1"/>
  </cols>
  <sheetData>
    <row r="2" ht="15">
      <c r="B2" s="2" t="s">
        <v>108</v>
      </c>
    </row>
    <row r="3" ht="15">
      <c r="B3" s="31" t="s">
        <v>80</v>
      </c>
    </row>
    <row r="5" spans="2:5" ht="15">
      <c r="B5" s="4" t="s">
        <v>184</v>
      </c>
      <c r="C5" s="5"/>
      <c r="D5" s="5"/>
      <c r="E5" s="6"/>
    </row>
    <row r="6" spans="2:5" ht="15">
      <c r="B6" s="7" t="s">
        <v>185</v>
      </c>
      <c r="C6" s="8"/>
      <c r="D6" s="8"/>
      <c r="E6" s="9"/>
    </row>
    <row r="7" spans="2:5" ht="15">
      <c r="B7" s="5" t="s">
        <v>0</v>
      </c>
      <c r="C7" s="5"/>
      <c r="D7" s="5"/>
      <c r="E7" s="5"/>
    </row>
    <row r="9" ht="15">
      <c r="B9" s="2" t="s">
        <v>49</v>
      </c>
    </row>
    <row r="10" spans="3:5" ht="15">
      <c r="C10" s="68" t="s">
        <v>25</v>
      </c>
      <c r="E10" s="32" t="s">
        <v>25</v>
      </c>
    </row>
    <row r="11" spans="3:5" ht="15">
      <c r="C11" s="68" t="s">
        <v>135</v>
      </c>
      <c r="E11" s="32" t="s">
        <v>26</v>
      </c>
    </row>
    <row r="12" spans="3:5" ht="15">
      <c r="C12" s="68" t="s">
        <v>136</v>
      </c>
      <c r="E12" s="32" t="s">
        <v>27</v>
      </c>
    </row>
    <row r="13" spans="3:5" ht="15">
      <c r="C13" s="68" t="s">
        <v>134</v>
      </c>
      <c r="E13" s="32" t="s">
        <v>137</v>
      </c>
    </row>
    <row r="14" spans="3:5" ht="15">
      <c r="C14" s="69">
        <v>37346</v>
      </c>
      <c r="E14" s="33" t="s">
        <v>179</v>
      </c>
    </row>
    <row r="15" spans="3:5" ht="15">
      <c r="C15" s="68" t="s">
        <v>3</v>
      </c>
      <c r="E15" s="32" t="s">
        <v>3</v>
      </c>
    </row>
    <row r="16" ht="15">
      <c r="C16" s="67" t="s">
        <v>89</v>
      </c>
    </row>
    <row r="17" spans="2:5" ht="15">
      <c r="B17" s="2" t="s">
        <v>138</v>
      </c>
      <c r="C17" s="70">
        <f>262367216/1000</f>
        <v>262367.216</v>
      </c>
      <c r="D17" s="21"/>
      <c r="E17" s="34">
        <f>262821619/1000</f>
        <v>262821.619</v>
      </c>
    </row>
    <row r="18" spans="2:5" ht="15">
      <c r="B18" s="2" t="s">
        <v>28</v>
      </c>
      <c r="C18" s="71">
        <f>44263289/1000</f>
        <v>44263.289</v>
      </c>
      <c r="D18" s="21"/>
      <c r="E18" s="34">
        <f>44088750/1000</f>
        <v>44088.75</v>
      </c>
    </row>
    <row r="19" spans="2:5" ht="15">
      <c r="B19" s="2" t="s">
        <v>139</v>
      </c>
      <c r="C19" s="71">
        <f>36834352/1000</f>
        <v>36834.352</v>
      </c>
      <c r="D19" s="21"/>
      <c r="E19" s="34">
        <f>175463276/1000</f>
        <v>175463.276</v>
      </c>
    </row>
    <row r="20" spans="2:5" ht="15">
      <c r="B20" s="2" t="s">
        <v>29</v>
      </c>
      <c r="C20" s="70">
        <f>27952815/1000</f>
        <v>27952.815</v>
      </c>
      <c r="D20" s="21"/>
      <c r="E20" s="34">
        <f>36039851/1000</f>
        <v>36039.851</v>
      </c>
    </row>
    <row r="21" spans="2:5" ht="15">
      <c r="B21" s="2" t="s">
        <v>31</v>
      </c>
      <c r="C21" s="70">
        <f>27372705/1000</f>
        <v>27372.705</v>
      </c>
      <c r="D21" s="21"/>
      <c r="E21" s="34">
        <f>27372705/1000</f>
        <v>27372.705</v>
      </c>
    </row>
    <row r="22" spans="2:5" ht="15">
      <c r="B22" s="2" t="s">
        <v>30</v>
      </c>
      <c r="C22" s="70">
        <f>1694434/1000</f>
        <v>1694.434</v>
      </c>
      <c r="D22" s="21"/>
      <c r="E22" s="34">
        <f>1694434/1000</f>
        <v>1694.434</v>
      </c>
    </row>
    <row r="23" spans="3:5" ht="15">
      <c r="C23" s="72"/>
      <c r="D23" s="21"/>
      <c r="E23" s="21"/>
    </row>
    <row r="24" spans="2:5" ht="15">
      <c r="B24" s="2" t="s">
        <v>32</v>
      </c>
      <c r="C24" s="73"/>
      <c r="D24" s="21"/>
      <c r="E24" s="21"/>
    </row>
    <row r="25" spans="2:5" ht="15">
      <c r="B25" s="35" t="s">
        <v>140</v>
      </c>
      <c r="C25" s="74">
        <f>61480227/1000</f>
        <v>61480.227</v>
      </c>
      <c r="D25" s="21"/>
      <c r="E25" s="36">
        <f>62604193/1000</f>
        <v>62604.193</v>
      </c>
    </row>
    <row r="26" spans="2:5" ht="15">
      <c r="B26" s="35" t="s">
        <v>141</v>
      </c>
      <c r="C26" s="75">
        <f>494080968/1000</f>
        <v>494080.968</v>
      </c>
      <c r="D26" s="21"/>
      <c r="E26" s="37">
        <f>501715829/1000</f>
        <v>501715.829</v>
      </c>
    </row>
    <row r="27" spans="2:5" ht="15">
      <c r="B27" s="35" t="s">
        <v>142</v>
      </c>
      <c r="C27" s="75">
        <f>(31952293+27103396+14597398)/1000</f>
        <v>73653.087</v>
      </c>
      <c r="D27" s="21"/>
      <c r="E27" s="37">
        <f>(38010465+18101070)/1000</f>
        <v>56111.535</v>
      </c>
    </row>
    <row r="28" spans="2:5" ht="15">
      <c r="B28" s="35" t="s">
        <v>143</v>
      </c>
      <c r="C28" s="75">
        <f>(2270990+36644781)/1000</f>
        <v>38915.771</v>
      </c>
      <c r="D28" s="21"/>
      <c r="E28" s="37">
        <f>2270990/1000</f>
        <v>2270.99</v>
      </c>
    </row>
    <row r="29" spans="2:5" ht="15">
      <c r="B29" s="35" t="s">
        <v>144</v>
      </c>
      <c r="C29" s="75">
        <f>3212099/1000</f>
        <v>3212.099</v>
      </c>
      <c r="D29" s="21"/>
      <c r="E29" s="37">
        <f>2854883/1000</f>
        <v>2854.883</v>
      </c>
    </row>
    <row r="30" spans="2:5" ht="15">
      <c r="B30" s="35" t="s">
        <v>33</v>
      </c>
      <c r="C30" s="75">
        <f>57363683/1000</f>
        <v>57363.683</v>
      </c>
      <c r="D30" s="21"/>
      <c r="E30" s="37">
        <f>55487585/1000</f>
        <v>55487.585</v>
      </c>
    </row>
    <row r="31" spans="3:5" ht="12.75" customHeight="1">
      <c r="C31" s="76">
        <f>SUM(C25:C30)</f>
        <v>728705.8349999998</v>
      </c>
      <c r="D31" s="21"/>
      <c r="E31" s="38">
        <f>SUM(E25:E30)</f>
        <v>681045.015</v>
      </c>
    </row>
    <row r="32" spans="3:5" ht="12" customHeight="1">
      <c r="C32" s="75"/>
      <c r="D32" s="21"/>
      <c r="E32" s="37"/>
    </row>
    <row r="33" spans="2:5" ht="15">
      <c r="B33" s="2" t="s">
        <v>34</v>
      </c>
      <c r="C33" s="75"/>
      <c r="D33" s="21"/>
      <c r="E33" s="37"/>
    </row>
    <row r="34" spans="2:5" ht="15">
      <c r="B34" s="35" t="s">
        <v>156</v>
      </c>
      <c r="C34" s="75">
        <f>(15945962+66813913+1975824+4310992+8616201+33757400)/1000</f>
        <v>131420.292</v>
      </c>
      <c r="D34" s="21"/>
      <c r="E34" s="37">
        <f>(42104167+53990445+2242422+4259515+45396412+33757400)/1000</f>
        <v>181750.361</v>
      </c>
    </row>
    <row r="35" spans="2:5" ht="15">
      <c r="B35" s="35" t="s">
        <v>151</v>
      </c>
      <c r="C35" s="75">
        <f>4009266/1000</f>
        <v>4009.266</v>
      </c>
      <c r="D35" s="21"/>
      <c r="E35" s="37">
        <f>3506988/1000</f>
        <v>3506.988</v>
      </c>
    </row>
    <row r="36" spans="2:5" ht="15">
      <c r="B36" s="35" t="s">
        <v>145</v>
      </c>
      <c r="C36" s="75">
        <f>20707424/1000</f>
        <v>20707.424</v>
      </c>
      <c r="D36" s="21"/>
      <c r="E36" s="37">
        <f>38110436/1000</f>
        <v>38110.436</v>
      </c>
    </row>
    <row r="37" spans="2:5" ht="15">
      <c r="B37" s="35" t="s">
        <v>35</v>
      </c>
      <c r="C37" s="75">
        <f>81868685/1000</f>
        <v>81868.685</v>
      </c>
      <c r="D37" s="21"/>
      <c r="E37" s="37">
        <f>101100126/1000</f>
        <v>101100.126</v>
      </c>
    </row>
    <row r="38" spans="2:5" ht="15">
      <c r="B38" s="35" t="s">
        <v>146</v>
      </c>
      <c r="C38" s="75">
        <f>308847/1000</f>
        <v>308.847</v>
      </c>
      <c r="D38" s="21"/>
      <c r="E38" s="37">
        <f>587656/1000</f>
        <v>587.656</v>
      </c>
    </row>
    <row r="39" spans="2:5" ht="15">
      <c r="B39" s="35" t="s">
        <v>37</v>
      </c>
      <c r="C39" s="75">
        <f>15588473/1000</f>
        <v>15588.473</v>
      </c>
      <c r="D39" s="21"/>
      <c r="E39" s="37">
        <f>6544990/1000</f>
        <v>6544.99</v>
      </c>
    </row>
    <row r="40" spans="2:5" ht="15">
      <c r="B40" s="35" t="s">
        <v>36</v>
      </c>
      <c r="C40" s="75">
        <f>22248865/1000</f>
        <v>22248.865</v>
      </c>
      <c r="D40" s="21"/>
      <c r="E40" s="37">
        <f>22199358/1000</f>
        <v>22199.358</v>
      </c>
    </row>
    <row r="41" spans="3:5" ht="15">
      <c r="C41" s="76">
        <f>SUM(C34:C40)</f>
        <v>276151.852</v>
      </c>
      <c r="D41" s="21"/>
      <c r="E41" s="38">
        <f>SUM(E34:E40)</f>
        <v>353799.91500000004</v>
      </c>
    </row>
    <row r="42" spans="2:5" ht="23.25" customHeight="1">
      <c r="B42" s="2" t="s">
        <v>38</v>
      </c>
      <c r="C42" s="73">
        <f>C31-C41</f>
        <v>452553.98299999983</v>
      </c>
      <c r="D42" s="21"/>
      <c r="E42" s="21">
        <f>E31-E41</f>
        <v>327245.1</v>
      </c>
    </row>
    <row r="43" spans="3:5" ht="23.25" customHeight="1" thickBot="1">
      <c r="C43" s="77">
        <f>SUM(C17:C22)+C42</f>
        <v>853038.7939999999</v>
      </c>
      <c r="D43" s="21"/>
      <c r="E43" s="57">
        <f>SUM(E17:E22)+E42</f>
        <v>874725.735</v>
      </c>
    </row>
    <row r="44" spans="3:5" ht="15.75" thickTop="1">
      <c r="C44" s="73"/>
      <c r="D44" s="21"/>
      <c r="E44" s="21"/>
    </row>
    <row r="45" spans="3:5" ht="15">
      <c r="C45" s="73"/>
      <c r="D45" s="21"/>
      <c r="E45" s="21"/>
    </row>
    <row r="46" spans="2:5" ht="15">
      <c r="B46" s="2" t="s">
        <v>39</v>
      </c>
      <c r="C46" s="73"/>
      <c r="D46" s="21"/>
      <c r="E46" s="21"/>
    </row>
    <row r="47" spans="2:5" ht="15">
      <c r="B47" s="39" t="s">
        <v>40</v>
      </c>
      <c r="C47" s="73">
        <v>259503</v>
      </c>
      <c r="D47" s="21"/>
      <c r="E47" s="21">
        <f>259502583/1000</f>
        <v>259502.583</v>
      </c>
    </row>
    <row r="48" spans="2:5" ht="15">
      <c r="B48" s="39" t="s">
        <v>41</v>
      </c>
      <c r="C48" s="73"/>
      <c r="D48" s="21"/>
      <c r="E48" s="21"/>
    </row>
    <row r="49" spans="2:5" ht="15">
      <c r="B49" s="35" t="s">
        <v>42</v>
      </c>
      <c r="C49" s="73">
        <v>402653</v>
      </c>
      <c r="D49" s="21"/>
      <c r="E49" s="21">
        <f>402653291/1000</f>
        <v>402653.291</v>
      </c>
    </row>
    <row r="50" spans="2:5" ht="15">
      <c r="B50" s="35" t="s">
        <v>43</v>
      </c>
      <c r="C50" s="73">
        <v>467</v>
      </c>
      <c r="D50" s="21"/>
      <c r="E50" s="21">
        <f>467000/1000</f>
        <v>467</v>
      </c>
    </row>
    <row r="51" spans="2:5" ht="15">
      <c r="B51" s="35" t="s">
        <v>44</v>
      </c>
      <c r="C51" s="73">
        <f>33210764/1000</f>
        <v>33210.764</v>
      </c>
      <c r="D51" s="21"/>
      <c r="E51" s="21">
        <f>33210764/1000</f>
        <v>33210.764</v>
      </c>
    </row>
    <row r="52" spans="2:5" ht="15">
      <c r="B52" s="35" t="s">
        <v>152</v>
      </c>
      <c r="C52" s="73">
        <f>347697/1000</f>
        <v>347.697</v>
      </c>
      <c r="D52" s="21"/>
      <c r="E52" s="21">
        <f>646012/1000</f>
        <v>646.012</v>
      </c>
    </row>
    <row r="53" spans="2:5" ht="15">
      <c r="B53" s="35" t="s">
        <v>147</v>
      </c>
      <c r="C53" s="73">
        <f>-176285298/1000</f>
        <v>-176285.298</v>
      </c>
      <c r="D53" s="21"/>
      <c r="E53" s="21">
        <f>-141450008/1000</f>
        <v>-141450.008</v>
      </c>
    </row>
    <row r="54" spans="3:5" ht="15">
      <c r="C54" s="78">
        <f>SUM(C47:C53)</f>
        <v>519896.163</v>
      </c>
      <c r="D54" s="21"/>
      <c r="E54" s="40">
        <f>SUM(E47:E53)</f>
        <v>555029.642</v>
      </c>
    </row>
    <row r="55" spans="2:5" ht="15">
      <c r="B55" s="2" t="s">
        <v>45</v>
      </c>
      <c r="C55" s="73">
        <f>79398271/1000</f>
        <v>79398.271</v>
      </c>
      <c r="D55" s="21"/>
      <c r="E55" s="21">
        <f>61541356/1000</f>
        <v>61541.356</v>
      </c>
    </row>
    <row r="56" spans="2:5" ht="15">
      <c r="B56" s="2" t="s">
        <v>148</v>
      </c>
      <c r="C56" s="73"/>
      <c r="D56" s="21"/>
      <c r="E56" s="21"/>
    </row>
    <row r="57" spans="2:5" ht="15">
      <c r="B57" s="3" t="s">
        <v>46</v>
      </c>
      <c r="C57" s="73">
        <f>27340000/1000</f>
        <v>27340</v>
      </c>
      <c r="D57" s="21"/>
      <c r="E57" s="21">
        <f>27370000/1000</f>
        <v>27370</v>
      </c>
    </row>
    <row r="58" spans="2:5" ht="15">
      <c r="B58" s="3" t="s">
        <v>47</v>
      </c>
      <c r="C58" s="73">
        <f>67156890/1000</f>
        <v>67156.89</v>
      </c>
      <c r="D58" s="21"/>
      <c r="E58" s="21">
        <f>67333432/1000</f>
        <v>67333.432</v>
      </c>
    </row>
    <row r="59" spans="2:5" ht="15">
      <c r="B59" s="3" t="s">
        <v>149</v>
      </c>
      <c r="C59" s="73">
        <f>57616926/1000</f>
        <v>57616.926</v>
      </c>
      <c r="D59" s="21"/>
      <c r="E59" s="21">
        <f>61145989/1000</f>
        <v>61145.989</v>
      </c>
    </row>
    <row r="60" spans="2:5" ht="15">
      <c r="B60" s="3" t="s">
        <v>146</v>
      </c>
      <c r="C60" s="73">
        <f>677226/1000</f>
        <v>677.226</v>
      </c>
      <c r="D60" s="21"/>
      <c r="E60" s="21">
        <f>698265/1000</f>
        <v>698.265</v>
      </c>
    </row>
    <row r="61" spans="2:5" ht="15">
      <c r="B61" s="3" t="s">
        <v>48</v>
      </c>
      <c r="C61" s="73">
        <f>100953444/1000</f>
        <v>100953.444</v>
      </c>
      <c r="D61" s="21"/>
      <c r="E61" s="21">
        <f>101607051/1000</f>
        <v>101607.051</v>
      </c>
    </row>
    <row r="62" spans="3:5" ht="23.25" customHeight="1" thickBot="1">
      <c r="C62" s="77">
        <f>SUM(C54:C61)</f>
        <v>853038.92</v>
      </c>
      <c r="D62" s="21"/>
      <c r="E62" s="57">
        <f>SUM(E54:E61)</f>
        <v>874725.735</v>
      </c>
    </row>
    <row r="63" spans="3:5" ht="15.75" thickTop="1">
      <c r="C63" s="72"/>
      <c r="D63" s="21"/>
      <c r="E63" s="21"/>
    </row>
    <row r="64" spans="3:5" ht="15">
      <c r="C64" s="73"/>
      <c r="D64" s="21"/>
      <c r="E64" s="21"/>
    </row>
    <row r="65" spans="2:5" ht="15">
      <c r="B65" s="2" t="s">
        <v>150</v>
      </c>
      <c r="C65" s="58">
        <f>(C54-C21)/C47</f>
        <v>1.8979489948093085</v>
      </c>
      <c r="D65" s="21"/>
      <c r="E65" s="58">
        <f>(E54-E21)/E47</f>
        <v>2.033339826139611</v>
      </c>
    </row>
    <row r="66" spans="3:5" ht="15">
      <c r="C66" s="21"/>
      <c r="D66" s="21"/>
      <c r="E66" s="21"/>
    </row>
  </sheetData>
  <printOptions/>
  <pageMargins left="0.8" right="0" top="1" bottom="1" header="0" footer="0"/>
  <pageSetup fitToHeight="2" horizontalDpi="300" verticalDpi="300" orientation="portrait" paperSize="9" scale="97" r:id="rId1"/>
  <rowBreaks count="1" manualBreakCount="1">
    <brk id="45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Q244"/>
  <sheetViews>
    <sheetView tabSelected="1" view="pageBreakPreview" zoomScale="75" zoomScaleSheetLayoutView="75" workbookViewId="0" topLeftCell="B190">
      <selection activeCell="C202" sqref="C202"/>
    </sheetView>
  </sheetViews>
  <sheetFormatPr defaultColWidth="9.140625" defaultRowHeight="12.75"/>
  <cols>
    <col min="1" max="1" width="3.140625" style="3" customWidth="1"/>
    <col min="2" max="3" width="3.7109375" style="3" customWidth="1"/>
    <col min="4" max="8" width="9.140625" style="3" customWidth="1"/>
    <col min="9" max="16" width="12.7109375" style="3" customWidth="1"/>
    <col min="17" max="17" width="11.7109375" style="3" customWidth="1"/>
    <col min="18" max="16384" width="9.140625" style="3" customWidth="1"/>
  </cols>
  <sheetData>
    <row r="2" ht="15">
      <c r="B2" s="2" t="s">
        <v>108</v>
      </c>
    </row>
    <row r="3" ht="15">
      <c r="B3" s="31" t="s">
        <v>80</v>
      </c>
    </row>
    <row r="5" spans="2:6" ht="15">
      <c r="B5" s="4" t="s">
        <v>184</v>
      </c>
      <c r="C5" s="5"/>
      <c r="D5" s="5"/>
      <c r="E5" s="6"/>
      <c r="F5" s="6"/>
    </row>
    <row r="6" spans="2:12" ht="15">
      <c r="B6" s="7" t="s">
        <v>185</v>
      </c>
      <c r="C6" s="8"/>
      <c r="D6" s="8"/>
      <c r="E6" s="9"/>
      <c r="F6" s="9"/>
      <c r="G6" s="9"/>
      <c r="H6" s="9"/>
      <c r="I6" s="9"/>
      <c r="J6" s="9"/>
      <c r="K6" s="9"/>
      <c r="L6" s="9"/>
    </row>
    <row r="7" ht="15">
      <c r="B7" s="4"/>
    </row>
    <row r="8" ht="15">
      <c r="B8" s="2" t="s">
        <v>50</v>
      </c>
    </row>
    <row r="10" spans="2:3" ht="15">
      <c r="B10" s="10" t="s">
        <v>4</v>
      </c>
      <c r="C10" s="2" t="s">
        <v>51</v>
      </c>
    </row>
    <row r="11" ht="15">
      <c r="C11" s="3" t="s">
        <v>188</v>
      </c>
    </row>
    <row r="12" ht="15">
      <c r="C12" s="3" t="s">
        <v>189</v>
      </c>
    </row>
    <row r="13" ht="15">
      <c r="C13" s="3" t="s">
        <v>190</v>
      </c>
    </row>
    <row r="14" ht="15">
      <c r="C14" s="3" t="s">
        <v>191</v>
      </c>
    </row>
    <row r="17" spans="2:3" ht="15">
      <c r="B17" s="10" t="s">
        <v>10</v>
      </c>
      <c r="C17" s="2" t="s">
        <v>13</v>
      </c>
    </row>
    <row r="18" spans="3:11" ht="15">
      <c r="C18" s="3" t="s">
        <v>192</v>
      </c>
      <c r="K18" s="11"/>
    </row>
    <row r="19" ht="15">
      <c r="K19" s="11"/>
    </row>
    <row r="20" ht="15">
      <c r="L20" s="12"/>
    </row>
    <row r="21" spans="2:3" ht="15">
      <c r="B21" s="10" t="s">
        <v>24</v>
      </c>
      <c r="C21" s="2" t="s">
        <v>22</v>
      </c>
    </row>
    <row r="22" ht="15">
      <c r="C22" s="3" t="s">
        <v>193</v>
      </c>
    </row>
    <row r="25" spans="2:3" ht="15">
      <c r="B25" s="10" t="s">
        <v>52</v>
      </c>
      <c r="C25" s="2" t="s">
        <v>18</v>
      </c>
    </row>
    <row r="26" spans="2:12" ht="15">
      <c r="B26" s="13"/>
      <c r="C26" s="2"/>
      <c r="I26" s="116" t="s">
        <v>100</v>
      </c>
      <c r="J26" s="116"/>
      <c r="K26" s="116" t="s">
        <v>101</v>
      </c>
      <c r="L26" s="116"/>
    </row>
    <row r="27" spans="2:12" ht="15">
      <c r="B27" s="13"/>
      <c r="C27" s="2"/>
      <c r="I27" s="54"/>
      <c r="J27" s="54" t="s">
        <v>106</v>
      </c>
      <c r="K27" s="54"/>
      <c r="L27" s="80" t="s">
        <v>106</v>
      </c>
    </row>
    <row r="28" spans="2:12" ht="15">
      <c r="B28" s="13"/>
      <c r="C28" s="2"/>
      <c r="I28" s="54" t="s">
        <v>84</v>
      </c>
      <c r="J28" s="54" t="s">
        <v>107</v>
      </c>
      <c r="K28" s="54" t="s">
        <v>84</v>
      </c>
      <c r="L28" s="54" t="s">
        <v>107</v>
      </c>
    </row>
    <row r="29" spans="2:12" ht="15.75" customHeight="1">
      <c r="B29" s="13"/>
      <c r="C29" s="2"/>
      <c r="I29" s="54" t="s">
        <v>102</v>
      </c>
      <c r="J29" s="80" t="s">
        <v>103</v>
      </c>
      <c r="K29" s="54" t="s">
        <v>102</v>
      </c>
      <c r="L29" s="54" t="s">
        <v>103</v>
      </c>
    </row>
    <row r="30" spans="2:12" ht="15">
      <c r="B30" s="13"/>
      <c r="C30" s="2"/>
      <c r="I30" s="54" t="s">
        <v>2</v>
      </c>
      <c r="J30" s="54" t="s">
        <v>2</v>
      </c>
      <c r="K30" s="54" t="s">
        <v>104</v>
      </c>
      <c r="L30" s="54" t="s">
        <v>105</v>
      </c>
    </row>
    <row r="31" spans="2:12" ht="15">
      <c r="B31" s="13"/>
      <c r="C31" s="2"/>
      <c r="I31" s="55" t="s">
        <v>186</v>
      </c>
      <c r="J31" s="55" t="s">
        <v>187</v>
      </c>
      <c r="K31" s="55" t="s">
        <v>186</v>
      </c>
      <c r="L31" s="55" t="s">
        <v>187</v>
      </c>
    </row>
    <row r="32" spans="2:12" ht="15">
      <c r="B32" s="13"/>
      <c r="C32" s="2"/>
      <c r="I32" s="54" t="s">
        <v>3</v>
      </c>
      <c r="J32" s="54" t="s">
        <v>3</v>
      </c>
      <c r="K32" s="54" t="s">
        <v>3</v>
      </c>
      <c r="L32" s="54" t="s">
        <v>3</v>
      </c>
    </row>
    <row r="33" spans="2:12" ht="15">
      <c r="B33" s="13"/>
      <c r="C33" s="3" t="s">
        <v>91</v>
      </c>
      <c r="I33" s="21">
        <v>3439</v>
      </c>
      <c r="J33" s="63">
        <v>3763</v>
      </c>
      <c r="K33" s="63">
        <v>3439</v>
      </c>
      <c r="L33" s="63">
        <v>3763</v>
      </c>
    </row>
    <row r="34" spans="2:14" ht="15">
      <c r="B34" s="13"/>
      <c r="C34" s="3" t="s">
        <v>158</v>
      </c>
      <c r="I34" s="21">
        <v>-1716</v>
      </c>
      <c r="J34" s="84">
        <v>-2344</v>
      </c>
      <c r="K34" s="63">
        <v>-1716</v>
      </c>
      <c r="L34" s="84">
        <v>-2344</v>
      </c>
      <c r="M34" s="14"/>
      <c r="N34" s="14"/>
    </row>
    <row r="35" spans="2:12" ht="21.75" customHeight="1">
      <c r="B35" s="13"/>
      <c r="I35" s="81">
        <f>SUM(I33:I34)</f>
        <v>1723</v>
      </c>
      <c r="J35" s="81">
        <f>SUM(J33:J34)</f>
        <v>1419</v>
      </c>
      <c r="K35" s="64">
        <f>SUM(K33:K34)</f>
        <v>1723</v>
      </c>
      <c r="L35" s="81">
        <f>SUM(L33:L34)</f>
        <v>1419</v>
      </c>
    </row>
    <row r="36" spans="2:12" ht="15">
      <c r="B36" s="13"/>
      <c r="C36" s="3" t="s">
        <v>90</v>
      </c>
      <c r="I36" s="21">
        <v>0</v>
      </c>
      <c r="J36" s="21">
        <v>0</v>
      </c>
      <c r="K36" s="15">
        <v>0</v>
      </c>
      <c r="L36" s="21">
        <v>0</v>
      </c>
    </row>
    <row r="37" spans="2:12" ht="21.75" customHeight="1">
      <c r="B37" s="13"/>
      <c r="I37" s="81">
        <f>SUM(I35:I36)</f>
        <v>1723</v>
      </c>
      <c r="J37" s="81">
        <f>SUM(J35:J36)</f>
        <v>1419</v>
      </c>
      <c r="K37" s="64">
        <f>SUM(K35:K36)</f>
        <v>1723</v>
      </c>
      <c r="L37" s="81">
        <f>SUM(L35:L36)</f>
        <v>1419</v>
      </c>
    </row>
    <row r="38" spans="2:12" ht="15">
      <c r="B38" s="13"/>
      <c r="C38" s="3" t="s">
        <v>81</v>
      </c>
      <c r="I38" s="21">
        <v>135</v>
      </c>
      <c r="J38" s="63">
        <v>0</v>
      </c>
      <c r="K38" s="63">
        <v>135</v>
      </c>
      <c r="L38" s="63">
        <v>0</v>
      </c>
    </row>
    <row r="39" spans="2:12" ht="21.75" customHeight="1">
      <c r="B39" s="13"/>
      <c r="C39" s="2"/>
      <c r="I39" s="65">
        <f>SUM(I37:I38)</f>
        <v>1858</v>
      </c>
      <c r="J39" s="65">
        <f>SUM(J37:J38)</f>
        <v>1419</v>
      </c>
      <c r="K39" s="65">
        <f>SUM(K37:K38)</f>
        <v>1858</v>
      </c>
      <c r="L39" s="65">
        <f>SUM(L37:L38)</f>
        <v>1419</v>
      </c>
    </row>
    <row r="40" spans="2:12" ht="15">
      <c r="B40" s="13"/>
      <c r="C40" s="3" t="s">
        <v>194</v>
      </c>
      <c r="K40" s="61"/>
      <c r="L40" s="61"/>
    </row>
    <row r="41" spans="2:12" ht="15">
      <c r="B41" s="13"/>
      <c r="C41" s="3" t="s">
        <v>195</v>
      </c>
      <c r="K41" s="61"/>
      <c r="L41" s="61"/>
    </row>
    <row r="42" spans="2:12" ht="15">
      <c r="B42" s="13"/>
      <c r="C42" s="3" t="s">
        <v>196</v>
      </c>
      <c r="K42" s="61"/>
      <c r="L42" s="61"/>
    </row>
    <row r="43" spans="2:12" ht="15">
      <c r="B43" s="13"/>
      <c r="K43" s="61"/>
      <c r="L43" s="61"/>
    </row>
    <row r="44" spans="2:12" ht="15">
      <c r="B44" s="13"/>
      <c r="C44" s="3" t="s">
        <v>197</v>
      </c>
      <c r="K44" s="61"/>
      <c r="L44" s="61"/>
    </row>
    <row r="45" spans="2:12" ht="15">
      <c r="B45" s="13"/>
      <c r="C45" s="3" t="s">
        <v>198</v>
      </c>
      <c r="K45" s="61"/>
      <c r="L45" s="61"/>
    </row>
    <row r="46" spans="2:12" ht="15">
      <c r="B46" s="13"/>
      <c r="K46" s="61"/>
      <c r="L46" s="61"/>
    </row>
    <row r="47" ht="15">
      <c r="B47" s="13"/>
    </row>
    <row r="48" spans="2:3" ht="15">
      <c r="B48" s="10" t="s">
        <v>53</v>
      </c>
      <c r="C48" s="2" t="s">
        <v>159</v>
      </c>
    </row>
    <row r="49" spans="2:3" ht="15">
      <c r="B49" s="10"/>
      <c r="C49" s="3" t="s">
        <v>287</v>
      </c>
    </row>
    <row r="50" spans="2:3" ht="15">
      <c r="B50" s="10"/>
      <c r="C50" s="3" t="s">
        <v>288</v>
      </c>
    </row>
    <row r="51" ht="15">
      <c r="B51" s="10"/>
    </row>
    <row r="53" spans="2:3" ht="14.25" customHeight="1">
      <c r="B53" s="10" t="s">
        <v>54</v>
      </c>
      <c r="C53" s="2" t="s">
        <v>56</v>
      </c>
    </row>
    <row r="54" spans="3:11" ht="14.25" customHeight="1">
      <c r="C54" s="17" t="s">
        <v>5</v>
      </c>
      <c r="D54" s="3" t="s">
        <v>162</v>
      </c>
      <c r="K54" s="18"/>
    </row>
    <row r="55" spans="3:12" ht="14.25" customHeight="1">
      <c r="C55" s="17"/>
      <c r="K55" s="54" t="s">
        <v>84</v>
      </c>
      <c r="L55" s="54" t="s">
        <v>84</v>
      </c>
    </row>
    <row r="56" spans="3:12" ht="14.25" customHeight="1">
      <c r="C56" s="17"/>
      <c r="K56" s="54" t="s">
        <v>102</v>
      </c>
      <c r="L56" s="54" t="s">
        <v>102</v>
      </c>
    </row>
    <row r="57" spans="3:12" ht="14.25" customHeight="1">
      <c r="C57" s="17"/>
      <c r="K57" s="54" t="s">
        <v>2</v>
      </c>
      <c r="L57" s="54" t="s">
        <v>104</v>
      </c>
    </row>
    <row r="58" spans="3:12" ht="14.25" customHeight="1">
      <c r="C58" s="17"/>
      <c r="K58" s="55" t="s">
        <v>186</v>
      </c>
      <c r="L58" s="55" t="s">
        <v>186</v>
      </c>
    </row>
    <row r="59" spans="3:12" ht="14.25" customHeight="1">
      <c r="C59" s="17"/>
      <c r="K59" s="54" t="s">
        <v>3</v>
      </c>
      <c r="L59" s="54" t="s">
        <v>3</v>
      </c>
    </row>
    <row r="60" spans="3:12" ht="21.75" customHeight="1">
      <c r="C60" s="17"/>
      <c r="D60" s="3" t="s">
        <v>163</v>
      </c>
      <c r="K60" s="79" t="s">
        <v>166</v>
      </c>
      <c r="L60" s="79" t="s">
        <v>166</v>
      </c>
    </row>
    <row r="61" spans="3:12" ht="21.75" customHeight="1">
      <c r="C61" s="17"/>
      <c r="D61" s="3" t="s">
        <v>164</v>
      </c>
      <c r="K61" s="66">
        <v>56960</v>
      </c>
      <c r="L61" s="66">
        <v>56960</v>
      </c>
    </row>
    <row r="62" spans="3:12" ht="21.75" customHeight="1">
      <c r="C62" s="17"/>
      <c r="D62" s="3" t="s">
        <v>165</v>
      </c>
      <c r="K62" s="66">
        <v>-13147</v>
      </c>
      <c r="L62" s="66">
        <v>-13147</v>
      </c>
    </row>
    <row r="64" spans="3:4" ht="15">
      <c r="C64" s="17" t="s">
        <v>7</v>
      </c>
      <c r="D64" s="3" t="s">
        <v>167</v>
      </c>
    </row>
    <row r="65" spans="3:12" ht="15">
      <c r="C65" s="17"/>
      <c r="K65" s="54"/>
      <c r="L65" s="54" t="s">
        <v>25</v>
      </c>
    </row>
    <row r="66" spans="3:12" ht="15">
      <c r="C66" s="17"/>
      <c r="K66" s="55"/>
      <c r="L66" s="55" t="s">
        <v>186</v>
      </c>
    </row>
    <row r="67" spans="4:12" ht="15">
      <c r="D67" s="19"/>
      <c r="E67" s="19"/>
      <c r="F67" s="19"/>
      <c r="G67" s="19"/>
      <c r="H67" s="19"/>
      <c r="I67" s="19"/>
      <c r="J67" s="19"/>
      <c r="K67" s="54"/>
      <c r="L67" s="54" t="s">
        <v>3</v>
      </c>
    </row>
    <row r="68" spans="4:12" ht="21.75" customHeight="1">
      <c r="D68" s="19" t="s">
        <v>82</v>
      </c>
      <c r="E68" s="19"/>
      <c r="F68" s="19"/>
      <c r="G68" s="19"/>
      <c r="H68" s="19"/>
      <c r="I68" s="19"/>
      <c r="J68" s="19"/>
      <c r="K68" s="20"/>
      <c r="L68" s="20">
        <v>82807</v>
      </c>
    </row>
    <row r="69" spans="4:12" ht="21.75" customHeight="1">
      <c r="D69" s="19" t="s">
        <v>168</v>
      </c>
      <c r="E69" s="19"/>
      <c r="F69" s="19"/>
      <c r="G69" s="19"/>
      <c r="H69" s="19"/>
      <c r="I69" s="19"/>
      <c r="J69" s="19"/>
      <c r="K69" s="15"/>
      <c r="L69" s="15">
        <v>38916</v>
      </c>
    </row>
    <row r="70" spans="4:12" ht="21.75" customHeight="1">
      <c r="D70" s="19" t="s">
        <v>83</v>
      </c>
      <c r="E70" s="19"/>
      <c r="F70" s="19"/>
      <c r="G70" s="19"/>
      <c r="H70" s="19"/>
      <c r="I70" s="19"/>
      <c r="J70" s="19"/>
      <c r="K70" s="22"/>
      <c r="L70" s="22">
        <v>31594</v>
      </c>
    </row>
    <row r="71" ht="15">
      <c r="L71" s="18"/>
    </row>
    <row r="72" ht="15">
      <c r="L72" s="18"/>
    </row>
    <row r="73" spans="2:3" ht="15">
      <c r="B73" s="10" t="s">
        <v>55</v>
      </c>
      <c r="C73" s="2" t="s">
        <v>92</v>
      </c>
    </row>
    <row r="74" spans="2:4" ht="15">
      <c r="B74" s="10"/>
      <c r="C74" s="3" t="s">
        <v>19</v>
      </c>
      <c r="D74" s="3" t="s">
        <v>202</v>
      </c>
    </row>
    <row r="75" spans="2:4" ht="15">
      <c r="B75" s="10"/>
      <c r="D75" s="3" t="s">
        <v>201</v>
      </c>
    </row>
    <row r="76" spans="2:4" ht="15">
      <c r="B76" s="10"/>
      <c r="D76" s="3" t="s">
        <v>199</v>
      </c>
    </row>
    <row r="77" spans="2:4" ht="15">
      <c r="B77" s="10"/>
      <c r="D77" s="3" t="s">
        <v>200</v>
      </c>
    </row>
    <row r="78" spans="2:3" ht="15">
      <c r="B78" s="10"/>
      <c r="C78" s="2"/>
    </row>
    <row r="79" spans="3:4" ht="15">
      <c r="C79" s="3" t="s">
        <v>93</v>
      </c>
      <c r="D79" s="3" t="s">
        <v>203</v>
      </c>
    </row>
    <row r="80" ht="15">
      <c r="D80" s="3" t="s">
        <v>204</v>
      </c>
    </row>
    <row r="81" ht="15">
      <c r="D81" s="3" t="s">
        <v>205</v>
      </c>
    </row>
    <row r="82" ht="15">
      <c r="D82" s="3" t="s">
        <v>206</v>
      </c>
    </row>
    <row r="85" spans="2:12" ht="15">
      <c r="B85" s="10" t="s">
        <v>57</v>
      </c>
      <c r="C85" s="23" t="s">
        <v>94</v>
      </c>
      <c r="D85" s="19"/>
      <c r="E85" s="19"/>
      <c r="F85" s="19"/>
      <c r="G85" s="19"/>
      <c r="H85" s="19"/>
      <c r="I85" s="19"/>
      <c r="J85" s="19"/>
      <c r="K85" s="19"/>
      <c r="L85" s="19"/>
    </row>
    <row r="86" spans="3:12" ht="15">
      <c r="C86" s="19" t="s">
        <v>181</v>
      </c>
      <c r="E86" s="19"/>
      <c r="F86" s="19"/>
      <c r="G86" s="19"/>
      <c r="H86" s="19"/>
      <c r="I86" s="19"/>
      <c r="J86" s="19"/>
      <c r="K86" s="19"/>
      <c r="L86" s="19"/>
    </row>
    <row r="87" spans="3:12" ht="15">
      <c r="C87" s="19" t="s">
        <v>182</v>
      </c>
      <c r="E87" s="19"/>
      <c r="F87" s="19"/>
      <c r="G87" s="19"/>
      <c r="H87" s="19"/>
      <c r="I87" s="19"/>
      <c r="J87" s="19"/>
      <c r="K87" s="19"/>
      <c r="L87" s="19"/>
    </row>
    <row r="88" spans="3:12" ht="15">
      <c r="C88" s="19" t="s">
        <v>183</v>
      </c>
      <c r="E88" s="19"/>
      <c r="F88" s="19"/>
      <c r="G88" s="19"/>
      <c r="H88" s="19"/>
      <c r="I88" s="19"/>
      <c r="J88" s="19"/>
      <c r="K88" s="19"/>
      <c r="L88" s="19"/>
    </row>
    <row r="89" spans="5:12" ht="15">
      <c r="E89" s="19"/>
      <c r="F89" s="19"/>
      <c r="G89" s="19"/>
      <c r="H89" s="19"/>
      <c r="I89" s="19"/>
      <c r="J89" s="19"/>
      <c r="K89" s="19"/>
      <c r="L89" s="19"/>
    </row>
    <row r="90" spans="4:12" ht="15">
      <c r="D90" s="24"/>
      <c r="E90" s="19"/>
      <c r="F90" s="19"/>
      <c r="G90" s="19"/>
      <c r="H90" s="19"/>
      <c r="I90" s="19"/>
      <c r="J90" s="19"/>
      <c r="K90" s="19"/>
      <c r="L90" s="19"/>
    </row>
    <row r="91" spans="2:3" ht="15">
      <c r="B91" s="10" t="s">
        <v>58</v>
      </c>
      <c r="C91" s="2" t="s">
        <v>97</v>
      </c>
    </row>
    <row r="92" ht="15">
      <c r="C92" s="3" t="s">
        <v>153</v>
      </c>
    </row>
    <row r="93" ht="15">
      <c r="C93" s="3" t="s">
        <v>207</v>
      </c>
    </row>
    <row r="94" ht="15">
      <c r="C94" s="3" t="s">
        <v>208</v>
      </c>
    </row>
    <row r="96" spans="3:12" ht="15.75" customHeight="1">
      <c r="C96" s="95" t="s">
        <v>209</v>
      </c>
      <c r="D96" s="94"/>
      <c r="E96" s="94"/>
      <c r="F96" s="94"/>
      <c r="G96" s="94"/>
      <c r="H96" s="94"/>
      <c r="I96" s="94"/>
      <c r="J96" s="94"/>
      <c r="K96" s="94"/>
      <c r="L96" s="94"/>
    </row>
    <row r="97" spans="3:12" ht="15.75" customHeight="1">
      <c r="C97" s="39" t="s">
        <v>210</v>
      </c>
      <c r="D97" s="94"/>
      <c r="E97" s="94"/>
      <c r="F97" s="94"/>
      <c r="G97" s="94"/>
      <c r="H97" s="94"/>
      <c r="I97" s="94"/>
      <c r="J97" s="94"/>
      <c r="K97" s="94"/>
      <c r="L97" s="94"/>
    </row>
    <row r="98" ht="15">
      <c r="C98" s="3" t="s">
        <v>272</v>
      </c>
    </row>
    <row r="99" ht="15">
      <c r="C99" s="3" t="s">
        <v>273</v>
      </c>
    </row>
    <row r="100" ht="15">
      <c r="C100" s="3" t="s">
        <v>274</v>
      </c>
    </row>
    <row r="103" spans="2:3" ht="15">
      <c r="B103" s="10" t="s">
        <v>59</v>
      </c>
      <c r="C103" s="2" t="s">
        <v>62</v>
      </c>
    </row>
    <row r="104" ht="15">
      <c r="C104" s="3" t="s">
        <v>98</v>
      </c>
    </row>
    <row r="105" spans="11:12" ht="15">
      <c r="K105" s="54" t="s">
        <v>25</v>
      </c>
      <c r="L105" s="54" t="s">
        <v>25</v>
      </c>
    </row>
    <row r="106" spans="11:12" ht="15">
      <c r="K106" s="55" t="s">
        <v>186</v>
      </c>
      <c r="L106" s="55" t="s">
        <v>187</v>
      </c>
    </row>
    <row r="107" spans="3:12" ht="15">
      <c r="C107" s="19"/>
      <c r="D107" s="19"/>
      <c r="E107" s="19"/>
      <c r="F107" s="19"/>
      <c r="G107" s="19"/>
      <c r="H107" s="19"/>
      <c r="I107" s="19"/>
      <c r="J107" s="19"/>
      <c r="K107" s="54" t="s">
        <v>3</v>
      </c>
      <c r="L107" s="54" t="s">
        <v>3</v>
      </c>
    </row>
    <row r="108" spans="3:12" ht="15">
      <c r="C108" s="25" t="s">
        <v>63</v>
      </c>
      <c r="D108" s="25"/>
      <c r="E108" s="25"/>
      <c r="F108" s="25"/>
      <c r="G108" s="25"/>
      <c r="H108" s="25"/>
      <c r="I108" s="25"/>
      <c r="J108" s="25"/>
      <c r="K108" s="26">
        <v>118165</v>
      </c>
      <c r="L108" s="26">
        <v>183073</v>
      </c>
    </row>
    <row r="109" spans="3:12" ht="15">
      <c r="C109" s="25" t="s">
        <v>64</v>
      </c>
      <c r="D109" s="25"/>
      <c r="E109" s="25"/>
      <c r="F109" s="25"/>
      <c r="G109" s="25"/>
      <c r="H109" s="25"/>
      <c r="I109" s="25"/>
      <c r="J109" s="25"/>
      <c r="K109" s="27">
        <v>57617</v>
      </c>
      <c r="L109" s="27">
        <v>74240</v>
      </c>
    </row>
    <row r="110" spans="3:12" ht="21.75" customHeight="1">
      <c r="C110" s="28"/>
      <c r="D110" s="28"/>
      <c r="E110" s="28"/>
      <c r="F110" s="28"/>
      <c r="G110" s="28"/>
      <c r="H110" s="28"/>
      <c r="I110" s="28"/>
      <c r="J110" s="28"/>
      <c r="K110" s="29">
        <f>SUM(K108:K109)</f>
        <v>175782</v>
      </c>
      <c r="L110" s="29">
        <f>SUM(L108:L109)</f>
        <v>257313</v>
      </c>
    </row>
    <row r="111" spans="3:12" ht="15">
      <c r="C111" s="3" t="s">
        <v>211</v>
      </c>
      <c r="D111" s="28"/>
      <c r="E111" s="28"/>
      <c r="F111" s="28"/>
      <c r="G111" s="28"/>
      <c r="H111" s="28"/>
      <c r="I111" s="28"/>
      <c r="J111" s="28"/>
      <c r="L111" s="62"/>
    </row>
    <row r="112" spans="4:12" ht="15">
      <c r="D112" s="28"/>
      <c r="E112" s="28"/>
      <c r="F112" s="28"/>
      <c r="G112" s="28"/>
      <c r="H112" s="28"/>
      <c r="I112" s="28"/>
      <c r="J112" s="28"/>
      <c r="L112" s="62"/>
    </row>
    <row r="113" spans="3:12" ht="15">
      <c r="C113" s="28"/>
      <c r="D113" s="28"/>
      <c r="E113" s="28"/>
      <c r="F113" s="28"/>
      <c r="G113" s="28"/>
      <c r="H113" s="28"/>
      <c r="I113" s="28"/>
      <c r="J113" s="28"/>
      <c r="K113" s="26"/>
      <c r="L113" s="62"/>
    </row>
    <row r="114" spans="2:12" ht="15">
      <c r="B114" s="10" t="s">
        <v>60</v>
      </c>
      <c r="C114" s="2" t="s">
        <v>66</v>
      </c>
      <c r="E114" s="28"/>
      <c r="F114" s="28"/>
      <c r="G114" s="28"/>
      <c r="H114" s="28"/>
      <c r="I114" s="28"/>
      <c r="J114" s="28"/>
      <c r="K114" s="26"/>
      <c r="L114" s="62"/>
    </row>
    <row r="115" spans="3:12" ht="15">
      <c r="C115" s="3" t="s">
        <v>212</v>
      </c>
      <c r="E115" s="28"/>
      <c r="F115" s="28"/>
      <c r="G115" s="28"/>
      <c r="H115" s="28"/>
      <c r="I115" s="28"/>
      <c r="J115" s="28"/>
      <c r="K115" s="26"/>
      <c r="L115" s="62"/>
    </row>
    <row r="116" spans="3:12" ht="15">
      <c r="C116" s="25" t="s">
        <v>213</v>
      </c>
      <c r="D116" s="28"/>
      <c r="E116" s="28"/>
      <c r="F116" s="28"/>
      <c r="G116" s="28"/>
      <c r="H116" s="28"/>
      <c r="I116" s="28"/>
      <c r="J116" s="28"/>
      <c r="K116" s="26"/>
      <c r="L116" s="62"/>
    </row>
    <row r="117" spans="3:12" ht="15">
      <c r="C117" s="25"/>
      <c r="D117" s="28"/>
      <c r="E117" s="28"/>
      <c r="F117" s="28"/>
      <c r="G117" s="28"/>
      <c r="H117" s="28"/>
      <c r="I117" s="28"/>
      <c r="J117" s="28"/>
      <c r="K117" s="26"/>
      <c r="L117" s="62"/>
    </row>
    <row r="119" spans="2:3" ht="15">
      <c r="B119" s="10" t="s">
        <v>61</v>
      </c>
      <c r="C119" s="2" t="s">
        <v>68</v>
      </c>
    </row>
    <row r="120" ht="15">
      <c r="C120" s="3" t="s">
        <v>109</v>
      </c>
    </row>
    <row r="121" ht="15">
      <c r="C121" s="3" t="s">
        <v>110</v>
      </c>
    </row>
    <row r="124" spans="2:3" ht="15">
      <c r="B124" s="10" t="s">
        <v>65</v>
      </c>
      <c r="C124" s="2" t="s">
        <v>169</v>
      </c>
    </row>
    <row r="125" ht="15">
      <c r="C125" s="3" t="s">
        <v>170</v>
      </c>
    </row>
    <row r="126" ht="15">
      <c r="C126" s="3" t="s">
        <v>171</v>
      </c>
    </row>
    <row r="129" spans="2:3" ht="15">
      <c r="B129" s="10" t="s">
        <v>67</v>
      </c>
      <c r="C129" s="2" t="s">
        <v>71</v>
      </c>
    </row>
    <row r="130" ht="15">
      <c r="C130" s="3" t="s">
        <v>267</v>
      </c>
    </row>
    <row r="131" ht="15">
      <c r="C131" s="109" t="s">
        <v>260</v>
      </c>
    </row>
    <row r="132" spans="9:16" ht="15">
      <c r="I132" s="100" t="s">
        <v>223</v>
      </c>
      <c r="J132" s="101"/>
      <c r="K132" s="100"/>
      <c r="L132" s="100"/>
      <c r="M132" s="100"/>
      <c r="N132" s="100"/>
      <c r="O132" s="100"/>
      <c r="P132" s="98"/>
    </row>
    <row r="133" spans="9:16" ht="14.25" customHeight="1">
      <c r="I133" s="100" t="s">
        <v>224</v>
      </c>
      <c r="J133" s="100"/>
      <c r="K133" s="100" t="s">
        <v>226</v>
      </c>
      <c r="L133" s="100"/>
      <c r="M133" s="100" t="s">
        <v>228</v>
      </c>
      <c r="N133" s="100" t="s">
        <v>230</v>
      </c>
      <c r="O133" s="100"/>
      <c r="P133" s="100"/>
    </row>
    <row r="134" spans="9:15" ht="14.25" customHeight="1">
      <c r="I134" s="100" t="s">
        <v>225</v>
      </c>
      <c r="J134" s="100" t="s">
        <v>73</v>
      </c>
      <c r="K134" s="102" t="s">
        <v>227</v>
      </c>
      <c r="L134" s="100" t="s">
        <v>72</v>
      </c>
      <c r="M134" s="100" t="s">
        <v>229</v>
      </c>
      <c r="N134" s="100" t="s">
        <v>231</v>
      </c>
      <c r="O134" s="100" t="s">
        <v>216</v>
      </c>
    </row>
    <row r="135" spans="9:15" ht="14.25" customHeight="1">
      <c r="I135" s="100" t="s">
        <v>3</v>
      </c>
      <c r="J135" s="100" t="s">
        <v>3</v>
      </c>
      <c r="K135" s="100" t="s">
        <v>3</v>
      </c>
      <c r="L135" s="100" t="s">
        <v>3</v>
      </c>
      <c r="M135" s="100" t="s">
        <v>3</v>
      </c>
      <c r="N135" s="100" t="s">
        <v>3</v>
      </c>
      <c r="O135" s="100" t="s">
        <v>3</v>
      </c>
    </row>
    <row r="136" spans="3:15" ht="14.25" customHeight="1">
      <c r="C136" s="3" t="s">
        <v>232</v>
      </c>
      <c r="F136" s="99"/>
      <c r="G136" s="99"/>
      <c r="H136" s="99"/>
      <c r="I136" s="111"/>
      <c r="J136" s="111"/>
      <c r="K136" s="111"/>
      <c r="L136" s="111"/>
      <c r="M136" s="21"/>
      <c r="N136" s="21"/>
      <c r="O136" s="21"/>
    </row>
    <row r="137" spans="3:17" ht="14.25" customHeight="1">
      <c r="C137" s="3" t="s">
        <v>215</v>
      </c>
      <c r="I137" s="105"/>
      <c r="J137" s="105"/>
      <c r="K137" s="105"/>
      <c r="L137" s="105"/>
      <c r="M137" s="106"/>
      <c r="N137" s="106"/>
      <c r="O137" s="106"/>
      <c r="Q137" s="39"/>
    </row>
    <row r="138" spans="4:17" ht="14.25" customHeight="1">
      <c r="D138" s="3" t="s">
        <v>233</v>
      </c>
      <c r="I138" s="105">
        <v>39521</v>
      </c>
      <c r="J138" s="105">
        <v>0</v>
      </c>
      <c r="K138" s="105">
        <v>5665</v>
      </c>
      <c r="L138" s="105">
        <v>0</v>
      </c>
      <c r="M138" s="106">
        <v>0</v>
      </c>
      <c r="N138" s="106">
        <v>2615</v>
      </c>
      <c r="O138" s="106">
        <f>SUM(I138:N138)</f>
        <v>47801</v>
      </c>
      <c r="Q138" s="39"/>
    </row>
    <row r="139" spans="4:17" ht="14.25" customHeight="1">
      <c r="D139" s="3" t="s">
        <v>234</v>
      </c>
      <c r="I139" s="105">
        <v>0</v>
      </c>
      <c r="J139" s="105">
        <v>0</v>
      </c>
      <c r="K139" s="105">
        <v>0</v>
      </c>
      <c r="L139" s="105">
        <v>0</v>
      </c>
      <c r="M139" s="106">
        <v>0</v>
      </c>
      <c r="N139" s="106">
        <v>0</v>
      </c>
      <c r="O139" s="106">
        <f>SUM(I139:N139)</f>
        <v>0</v>
      </c>
      <c r="Q139" s="39"/>
    </row>
    <row r="140" spans="3:17" ht="14.25" customHeight="1">
      <c r="C140" s="3" t="s">
        <v>235</v>
      </c>
      <c r="I140" s="108">
        <f aca="true" t="shared" si="0" ref="I140:N140">SUM(I138:I139)</f>
        <v>39521</v>
      </c>
      <c r="J140" s="108">
        <f t="shared" si="0"/>
        <v>0</v>
      </c>
      <c r="K140" s="108">
        <f t="shared" si="0"/>
        <v>5665</v>
      </c>
      <c r="L140" s="108">
        <f t="shared" si="0"/>
        <v>0</v>
      </c>
      <c r="M140" s="112">
        <f t="shared" si="0"/>
        <v>0</v>
      </c>
      <c r="N140" s="112">
        <f t="shared" si="0"/>
        <v>2615</v>
      </c>
      <c r="O140" s="112">
        <f>SUM(O138:O139)</f>
        <v>47801</v>
      </c>
      <c r="Q140" s="39"/>
    </row>
    <row r="141" spans="9:17" ht="14.25" customHeight="1">
      <c r="I141" s="105"/>
      <c r="J141" s="105"/>
      <c r="K141" s="105"/>
      <c r="L141" s="105"/>
      <c r="M141" s="106"/>
      <c r="N141" s="106"/>
      <c r="O141" s="106"/>
      <c r="P141" s="39"/>
      <c r="Q141" s="39"/>
    </row>
    <row r="142" spans="3:17" ht="14.25" customHeight="1">
      <c r="C142" s="3" t="s">
        <v>236</v>
      </c>
      <c r="I142" s="105"/>
      <c r="J142" s="105"/>
      <c r="K142" s="105"/>
      <c r="L142" s="105"/>
      <c r="M142" s="106"/>
      <c r="N142" s="106"/>
      <c r="O142" s="106"/>
      <c r="P142" s="39"/>
      <c r="Q142" s="39"/>
    </row>
    <row r="143" spans="4:17" ht="15">
      <c r="D143" s="3" t="s">
        <v>237</v>
      </c>
      <c r="I143" s="105">
        <v>8734</v>
      </c>
      <c r="J143" s="106">
        <v>6647</v>
      </c>
      <c r="K143" s="105">
        <v>393</v>
      </c>
      <c r="L143" s="105">
        <v>-4</v>
      </c>
      <c r="M143" s="106">
        <v>0</v>
      </c>
      <c r="N143" s="106">
        <v>105</v>
      </c>
      <c r="O143" s="106">
        <f>SUM(I143:N143)</f>
        <v>15875</v>
      </c>
      <c r="P143" s="39"/>
      <c r="Q143" s="39"/>
    </row>
    <row r="144" spans="4:17" ht="15">
      <c r="D144" s="3" t="s">
        <v>238</v>
      </c>
      <c r="I144" s="105"/>
      <c r="J144" s="106"/>
      <c r="K144" s="105"/>
      <c r="L144" s="105"/>
      <c r="M144" s="106"/>
      <c r="N144" s="106"/>
      <c r="O144" s="106">
        <v>-1737</v>
      </c>
      <c r="P144" s="39"/>
      <c r="Q144" s="39"/>
    </row>
    <row r="145" spans="4:17" ht="15">
      <c r="D145" s="3" t="s">
        <v>239</v>
      </c>
      <c r="I145" s="108">
        <f aca="true" t="shared" si="1" ref="I145:O145">SUM(I143:I144)</f>
        <v>8734</v>
      </c>
      <c r="J145" s="112">
        <f t="shared" si="1"/>
        <v>6647</v>
      </c>
      <c r="K145" s="108">
        <f t="shared" si="1"/>
        <v>393</v>
      </c>
      <c r="L145" s="108">
        <f t="shared" si="1"/>
        <v>-4</v>
      </c>
      <c r="M145" s="112">
        <f t="shared" si="1"/>
        <v>0</v>
      </c>
      <c r="N145" s="112">
        <f t="shared" si="1"/>
        <v>105</v>
      </c>
      <c r="O145" s="112">
        <f t="shared" si="1"/>
        <v>14138</v>
      </c>
      <c r="P145" s="39"/>
      <c r="Q145" s="39"/>
    </row>
    <row r="146" spans="4:17" ht="15">
      <c r="D146" s="3" t="s">
        <v>240</v>
      </c>
      <c r="I146" s="105">
        <v>-1181</v>
      </c>
      <c r="J146" s="106">
        <v>-710</v>
      </c>
      <c r="K146" s="105">
        <v>-55</v>
      </c>
      <c r="L146" s="105">
        <v>-8</v>
      </c>
      <c r="M146" s="106">
        <v>0</v>
      </c>
      <c r="N146" s="106">
        <v>0</v>
      </c>
      <c r="O146" s="106">
        <f>SUM(I146:N146)</f>
        <v>-1954</v>
      </c>
      <c r="P146" s="39"/>
      <c r="Q146" s="39"/>
    </row>
    <row r="147" spans="4:17" ht="15">
      <c r="D147" s="3" t="s">
        <v>255</v>
      </c>
      <c r="I147" s="108">
        <f aca="true" t="shared" si="2" ref="I147:O147">SUM(I145:I146)</f>
        <v>7553</v>
      </c>
      <c r="J147" s="108">
        <f t="shared" si="2"/>
        <v>5937</v>
      </c>
      <c r="K147" s="108">
        <f t="shared" si="2"/>
        <v>338</v>
      </c>
      <c r="L147" s="108">
        <f t="shared" si="2"/>
        <v>-12</v>
      </c>
      <c r="M147" s="108">
        <f t="shared" si="2"/>
        <v>0</v>
      </c>
      <c r="N147" s="108">
        <f t="shared" si="2"/>
        <v>105</v>
      </c>
      <c r="O147" s="108">
        <f t="shared" si="2"/>
        <v>12184</v>
      </c>
      <c r="P147" s="39"/>
      <c r="Q147" s="39"/>
    </row>
    <row r="148" spans="4:17" ht="15">
      <c r="D148" s="3" t="s">
        <v>256</v>
      </c>
      <c r="I148" s="107">
        <v>0</v>
      </c>
      <c r="J148" s="107">
        <v>-31970</v>
      </c>
      <c r="K148" s="107">
        <v>0</v>
      </c>
      <c r="L148" s="107">
        <v>0</v>
      </c>
      <c r="M148" s="107">
        <v>0</v>
      </c>
      <c r="N148" s="107">
        <v>0</v>
      </c>
      <c r="O148" s="106">
        <f>SUM(I148:N148)</f>
        <v>-31970</v>
      </c>
      <c r="P148" s="39"/>
      <c r="Q148" s="39"/>
    </row>
    <row r="149" spans="4:17" ht="15">
      <c r="D149" s="3" t="s">
        <v>257</v>
      </c>
      <c r="I149" s="107">
        <v>0</v>
      </c>
      <c r="J149" s="107">
        <v>-13147</v>
      </c>
      <c r="K149" s="107">
        <v>0</v>
      </c>
      <c r="L149" s="107">
        <v>0</v>
      </c>
      <c r="M149" s="107">
        <v>0</v>
      </c>
      <c r="N149" s="107">
        <v>0</v>
      </c>
      <c r="O149" s="106">
        <f>SUM(I149:N149)</f>
        <v>-13147</v>
      </c>
      <c r="P149" s="39"/>
      <c r="Q149" s="39"/>
    </row>
    <row r="150" spans="4:17" ht="15">
      <c r="D150" s="3" t="s">
        <v>241</v>
      </c>
      <c r="I150" s="107">
        <v>0</v>
      </c>
      <c r="J150" s="107">
        <v>0</v>
      </c>
      <c r="K150" s="107">
        <v>0</v>
      </c>
      <c r="L150" s="107">
        <v>480</v>
      </c>
      <c r="M150" s="107">
        <v>0</v>
      </c>
      <c r="N150" s="107">
        <v>0</v>
      </c>
      <c r="O150" s="106">
        <f>SUM(I150:N150)</f>
        <v>480</v>
      </c>
      <c r="P150" s="39"/>
      <c r="Q150" s="39"/>
    </row>
    <row r="151" spans="4:17" ht="15">
      <c r="D151" s="3" t="s">
        <v>18</v>
      </c>
      <c r="I151" s="107">
        <v>-1858</v>
      </c>
      <c r="J151" s="107">
        <v>0</v>
      </c>
      <c r="K151" s="107">
        <v>0</v>
      </c>
      <c r="L151" s="107">
        <v>0</v>
      </c>
      <c r="M151" s="107">
        <v>0</v>
      </c>
      <c r="N151" s="107">
        <v>0</v>
      </c>
      <c r="O151" s="107">
        <f>SUM(I151:N151)</f>
        <v>-1858</v>
      </c>
      <c r="P151" s="39"/>
      <c r="Q151" s="39"/>
    </row>
    <row r="152" spans="4:17" ht="15">
      <c r="D152" s="3" t="s">
        <v>242</v>
      </c>
      <c r="I152" s="108">
        <f aca="true" t="shared" si="3" ref="I152:N152">SUM(I147:I151)</f>
        <v>5695</v>
      </c>
      <c r="J152" s="108">
        <f t="shared" si="3"/>
        <v>-39180</v>
      </c>
      <c r="K152" s="108">
        <f t="shared" si="3"/>
        <v>338</v>
      </c>
      <c r="L152" s="108">
        <f t="shared" si="3"/>
        <v>468</v>
      </c>
      <c r="M152" s="108">
        <f t="shared" si="3"/>
        <v>0</v>
      </c>
      <c r="N152" s="108">
        <f t="shared" si="3"/>
        <v>105</v>
      </c>
      <c r="O152" s="108">
        <f>SUM(O147:O151)</f>
        <v>-34311</v>
      </c>
      <c r="P152" s="39"/>
      <c r="Q152" s="39"/>
    </row>
    <row r="153" spans="4:17" ht="15">
      <c r="D153" s="3" t="s">
        <v>258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-525</v>
      </c>
      <c r="P153" s="39"/>
      <c r="Q153" s="39"/>
    </row>
    <row r="154" spans="4:17" ht="15">
      <c r="D154" s="3" t="s">
        <v>259</v>
      </c>
      <c r="I154" s="113">
        <f aca="true" t="shared" si="4" ref="I154:N154">SUM(I152:I153)</f>
        <v>5695</v>
      </c>
      <c r="J154" s="113">
        <f t="shared" si="4"/>
        <v>-39180</v>
      </c>
      <c r="K154" s="113">
        <f t="shared" si="4"/>
        <v>338</v>
      </c>
      <c r="L154" s="113">
        <f t="shared" si="4"/>
        <v>468</v>
      </c>
      <c r="M154" s="113">
        <f t="shared" si="4"/>
        <v>0</v>
      </c>
      <c r="N154" s="113">
        <f t="shared" si="4"/>
        <v>105</v>
      </c>
      <c r="O154" s="113">
        <f>SUM(O152:O153)</f>
        <v>-34836</v>
      </c>
      <c r="P154" s="39"/>
      <c r="Q154" s="39"/>
    </row>
    <row r="155" spans="9:17" ht="16.5" customHeight="1">
      <c r="I155" s="107"/>
      <c r="J155" s="107"/>
      <c r="K155" s="107"/>
      <c r="L155" s="107"/>
      <c r="M155" s="106"/>
      <c r="N155" s="106"/>
      <c r="O155" s="106"/>
      <c r="P155" s="39"/>
      <c r="Q155" s="39"/>
    </row>
    <row r="156" spans="2:17" ht="15">
      <c r="B156" s="10"/>
      <c r="C156" s="3" t="s">
        <v>243</v>
      </c>
      <c r="I156" s="106"/>
      <c r="J156" s="106"/>
      <c r="K156" s="106"/>
      <c r="L156" s="106"/>
      <c r="M156" s="106"/>
      <c r="N156" s="106"/>
      <c r="O156" s="106"/>
      <c r="P156" s="39"/>
      <c r="Q156" s="39"/>
    </row>
    <row r="157" spans="2:17" ht="15">
      <c r="B157" s="10"/>
      <c r="D157" s="3" t="s">
        <v>244</v>
      </c>
      <c r="I157" s="106">
        <v>925242</v>
      </c>
      <c r="J157" s="106">
        <v>68573</v>
      </c>
      <c r="K157" s="106">
        <v>246</v>
      </c>
      <c r="L157" s="106">
        <v>638</v>
      </c>
      <c r="M157" s="106">
        <v>100</v>
      </c>
      <c r="N157" s="106">
        <v>33289</v>
      </c>
      <c r="O157" s="106">
        <f>SUM(I157:N157)</f>
        <v>1028088</v>
      </c>
      <c r="P157" s="39"/>
      <c r="Q157" s="39"/>
    </row>
    <row r="158" spans="2:17" ht="15">
      <c r="B158" s="10"/>
      <c r="D158" s="3" t="s">
        <v>245</v>
      </c>
      <c r="I158" s="106">
        <v>0</v>
      </c>
      <c r="J158" s="106">
        <v>37063</v>
      </c>
      <c r="K158" s="106">
        <v>74</v>
      </c>
      <c r="L158" s="106">
        <v>7127</v>
      </c>
      <c r="M158" s="106">
        <v>0</v>
      </c>
      <c r="N158" s="106">
        <v>0</v>
      </c>
      <c r="O158" s="106">
        <f>SUM(I158:N158)</f>
        <v>44264</v>
      </c>
      <c r="P158" s="39"/>
      <c r="Q158" s="39"/>
    </row>
    <row r="159" spans="2:17" ht="15">
      <c r="B159" s="10"/>
      <c r="D159" s="3" t="s">
        <v>246</v>
      </c>
      <c r="I159" s="106">
        <v>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12575</v>
      </c>
      <c r="P159" s="39"/>
      <c r="Q159" s="39"/>
    </row>
    <row r="160" spans="2:17" ht="15">
      <c r="B160" s="10"/>
      <c r="D160" s="3" t="s">
        <v>247</v>
      </c>
      <c r="I160" s="113">
        <f aca="true" t="shared" si="5" ref="I160:N160">SUM(I157:I159)</f>
        <v>925242</v>
      </c>
      <c r="J160" s="113">
        <f t="shared" si="5"/>
        <v>105636</v>
      </c>
      <c r="K160" s="113">
        <f t="shared" si="5"/>
        <v>320</v>
      </c>
      <c r="L160" s="113">
        <f t="shared" si="5"/>
        <v>7765</v>
      </c>
      <c r="M160" s="113">
        <f t="shared" si="5"/>
        <v>100</v>
      </c>
      <c r="N160" s="113">
        <f t="shared" si="5"/>
        <v>33289</v>
      </c>
      <c r="O160" s="113">
        <f>SUM(O157:O159)</f>
        <v>1084927</v>
      </c>
      <c r="P160" s="39"/>
      <c r="Q160" s="39"/>
    </row>
    <row r="161" spans="2:17" ht="15">
      <c r="B161" s="10"/>
      <c r="I161" s="106"/>
      <c r="J161" s="106"/>
      <c r="K161" s="106"/>
      <c r="L161" s="106"/>
      <c r="M161" s="106"/>
      <c r="N161" s="106"/>
      <c r="O161" s="106"/>
      <c r="P161" s="39"/>
      <c r="Q161" s="39"/>
    </row>
    <row r="162" spans="2:17" ht="15">
      <c r="B162" s="10"/>
      <c r="D162" s="3" t="s">
        <v>248</v>
      </c>
      <c r="I162" s="106">
        <v>385977</v>
      </c>
      <c r="J162" s="106">
        <v>37211</v>
      </c>
      <c r="K162" s="106">
        <v>8033</v>
      </c>
      <c r="L162" s="106">
        <v>372</v>
      </c>
      <c r="M162" s="106">
        <v>0</v>
      </c>
      <c r="N162" s="106">
        <v>9725</v>
      </c>
      <c r="O162" s="106">
        <f>SUM(I162:N162)</f>
        <v>441318</v>
      </c>
      <c r="P162" s="39"/>
      <c r="Q162" s="39"/>
    </row>
    <row r="163" spans="2:17" ht="15">
      <c r="B163" s="10"/>
      <c r="D163" s="3" t="s">
        <v>249</v>
      </c>
      <c r="I163" s="106">
        <v>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88578</v>
      </c>
      <c r="P163" s="39"/>
      <c r="Q163" s="39"/>
    </row>
    <row r="164" spans="2:17" ht="15">
      <c r="B164" s="10"/>
      <c r="D164" s="3" t="s">
        <v>250</v>
      </c>
      <c r="I164" s="113">
        <f aca="true" t="shared" si="6" ref="I164:N164">SUM(I162:I163)</f>
        <v>385977</v>
      </c>
      <c r="J164" s="113">
        <f t="shared" si="6"/>
        <v>37211</v>
      </c>
      <c r="K164" s="113">
        <f t="shared" si="6"/>
        <v>8033</v>
      </c>
      <c r="L164" s="113">
        <f t="shared" si="6"/>
        <v>372</v>
      </c>
      <c r="M164" s="113">
        <f t="shared" si="6"/>
        <v>0</v>
      </c>
      <c r="N164" s="113">
        <f t="shared" si="6"/>
        <v>9725</v>
      </c>
      <c r="O164" s="113">
        <f>SUM(O162:O163)</f>
        <v>529896</v>
      </c>
      <c r="P164" s="39"/>
      <c r="Q164" s="39"/>
    </row>
    <row r="165" spans="2:17" ht="15">
      <c r="B165" s="10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2:17" ht="15">
      <c r="B166" s="10"/>
      <c r="C166" s="3" t="s">
        <v>251</v>
      </c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2:17" ht="15">
      <c r="B167" s="10"/>
      <c r="D167" s="3" t="s">
        <v>252</v>
      </c>
      <c r="I167" s="106">
        <v>1010</v>
      </c>
      <c r="J167" s="106">
        <v>207</v>
      </c>
      <c r="K167" s="106">
        <v>0</v>
      </c>
      <c r="L167" s="106">
        <v>0</v>
      </c>
      <c r="M167" s="106">
        <v>0</v>
      </c>
      <c r="N167" s="106">
        <v>0</v>
      </c>
      <c r="O167" s="106">
        <f>SUM(I167:N167)</f>
        <v>1217</v>
      </c>
      <c r="P167" s="39"/>
      <c r="Q167" s="39"/>
    </row>
    <row r="168" spans="2:17" ht="15">
      <c r="B168" s="10"/>
      <c r="D168" s="3" t="s">
        <v>253</v>
      </c>
      <c r="I168" s="106">
        <v>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f>SUM(I168:N168)</f>
        <v>0</v>
      </c>
      <c r="P168" s="39"/>
      <c r="Q168" s="39"/>
    </row>
    <row r="169" spans="2:17" ht="15">
      <c r="B169" s="10"/>
      <c r="D169" s="3" t="s">
        <v>254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f>SUM(I169:N169)</f>
        <v>0</v>
      </c>
      <c r="P169" s="39"/>
      <c r="Q169" s="39"/>
    </row>
    <row r="170" spans="2:17" ht="15">
      <c r="B170" s="10"/>
      <c r="I170" s="39"/>
      <c r="J170" s="39"/>
      <c r="K170" s="39"/>
      <c r="L170" s="39"/>
      <c r="M170" s="39"/>
      <c r="N170" s="39"/>
      <c r="O170" s="39"/>
      <c r="P170" s="39"/>
      <c r="Q170" s="39"/>
    </row>
    <row r="171" spans="2:17" ht="15">
      <c r="B171" s="10"/>
      <c r="C171" s="109" t="s">
        <v>261</v>
      </c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2:17" ht="15">
      <c r="B172" s="10"/>
      <c r="I172" s="11"/>
      <c r="J172" s="11"/>
      <c r="K172" s="100" t="s">
        <v>264</v>
      </c>
      <c r="L172" s="39"/>
      <c r="M172" s="39"/>
      <c r="N172" s="39"/>
      <c r="O172" s="39"/>
      <c r="P172" s="39"/>
      <c r="Q172" s="39"/>
    </row>
    <row r="173" spans="2:17" ht="15">
      <c r="B173" s="10"/>
      <c r="I173" s="100" t="s">
        <v>262</v>
      </c>
      <c r="J173" s="100" t="s">
        <v>263</v>
      </c>
      <c r="K173" s="100" t="s">
        <v>265</v>
      </c>
      <c r="L173" s="100" t="s">
        <v>216</v>
      </c>
      <c r="M173" s="39"/>
      <c r="N173" s="39"/>
      <c r="O173" s="39"/>
      <c r="P173" s="39"/>
      <c r="Q173" s="39"/>
    </row>
    <row r="174" spans="2:17" ht="15">
      <c r="B174" s="10"/>
      <c r="I174" s="100" t="s">
        <v>3</v>
      </c>
      <c r="J174" s="100" t="s">
        <v>3</v>
      </c>
      <c r="K174" s="100" t="s">
        <v>3</v>
      </c>
      <c r="L174" s="100" t="s">
        <v>3</v>
      </c>
      <c r="M174" s="39"/>
      <c r="N174" s="39"/>
      <c r="O174" s="39"/>
      <c r="P174" s="39"/>
      <c r="Q174" s="39"/>
    </row>
    <row r="175" spans="2:17" ht="15">
      <c r="B175" s="10"/>
      <c r="D175" s="3" t="s">
        <v>266</v>
      </c>
      <c r="I175" s="110">
        <v>45186</v>
      </c>
      <c r="J175" s="110">
        <v>0</v>
      </c>
      <c r="K175" s="110">
        <v>2615</v>
      </c>
      <c r="L175" s="110">
        <f>SUM(I175:K175)</f>
        <v>47801</v>
      </c>
      <c r="M175" s="39"/>
      <c r="N175" s="39"/>
      <c r="O175" s="39"/>
      <c r="P175" s="39"/>
      <c r="Q175" s="39"/>
    </row>
    <row r="176" spans="2:17" ht="15">
      <c r="B176" s="10"/>
      <c r="D176" s="3" t="s">
        <v>244</v>
      </c>
      <c r="I176" s="110">
        <v>1065144</v>
      </c>
      <c r="J176" s="110">
        <v>13302</v>
      </c>
      <c r="K176" s="110">
        <v>6481</v>
      </c>
      <c r="L176" s="110">
        <f>SUM(I176:K176)</f>
        <v>1084927</v>
      </c>
      <c r="M176" s="39"/>
      <c r="N176" s="39"/>
      <c r="O176" s="39"/>
      <c r="P176" s="39"/>
      <c r="Q176" s="39"/>
    </row>
    <row r="177" spans="2:17" ht="15">
      <c r="B177" s="10"/>
      <c r="I177" s="106"/>
      <c r="J177" s="106"/>
      <c r="K177" s="106"/>
      <c r="L177" s="106"/>
      <c r="M177" s="39"/>
      <c r="N177" s="39"/>
      <c r="O177" s="39"/>
      <c r="P177" s="39"/>
      <c r="Q177" s="39"/>
    </row>
    <row r="178" spans="2:3" ht="15">
      <c r="B178" s="10" t="s">
        <v>69</v>
      </c>
      <c r="C178" s="2" t="s">
        <v>180</v>
      </c>
    </row>
    <row r="179" spans="2:12" ht="15.75" customHeight="1">
      <c r="B179" s="10"/>
      <c r="C179" s="2"/>
      <c r="K179" s="103" t="s">
        <v>84</v>
      </c>
      <c r="L179" s="103" t="s">
        <v>106</v>
      </c>
    </row>
    <row r="180" spans="2:12" ht="15.75" customHeight="1">
      <c r="B180" s="10"/>
      <c r="C180" s="2"/>
      <c r="K180" s="103" t="s">
        <v>2</v>
      </c>
      <c r="L180" s="103" t="s">
        <v>2</v>
      </c>
    </row>
    <row r="181" spans="2:12" ht="15">
      <c r="B181" s="10"/>
      <c r="C181" s="2"/>
      <c r="K181" s="104" t="s">
        <v>186</v>
      </c>
      <c r="L181" s="104" t="s">
        <v>179</v>
      </c>
    </row>
    <row r="182" spans="2:12" ht="15">
      <c r="B182" s="10"/>
      <c r="C182" s="2"/>
      <c r="K182" s="103" t="s">
        <v>214</v>
      </c>
      <c r="L182" s="103" t="s">
        <v>214</v>
      </c>
    </row>
    <row r="183" spans="2:12" ht="15">
      <c r="B183" s="10">
        <v>7</v>
      </c>
      <c r="C183" s="3" t="s">
        <v>215</v>
      </c>
      <c r="K183" s="96">
        <v>47801</v>
      </c>
      <c r="L183" s="97">
        <v>19277</v>
      </c>
    </row>
    <row r="184" spans="2:12" ht="15">
      <c r="B184" s="10"/>
      <c r="C184" s="3" t="s">
        <v>218</v>
      </c>
      <c r="K184" s="97">
        <v>-32453</v>
      </c>
      <c r="L184" s="97">
        <v>-7839</v>
      </c>
    </row>
    <row r="185" spans="2:12" ht="15">
      <c r="B185" s="10"/>
      <c r="C185" s="3" t="s">
        <v>217</v>
      </c>
      <c r="K185" s="97">
        <v>-34836</v>
      </c>
      <c r="L185" s="97">
        <v>-10297</v>
      </c>
    </row>
    <row r="186" spans="2:3" ht="15">
      <c r="B186" s="10"/>
      <c r="C186" s="2"/>
    </row>
    <row r="187" spans="2:12" ht="15">
      <c r="B187" s="10"/>
      <c r="C187" s="18" t="s">
        <v>268</v>
      </c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3:12" ht="15">
      <c r="C188" s="18" t="s">
        <v>289</v>
      </c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3:12" ht="15">
      <c r="C189" s="18" t="s">
        <v>290</v>
      </c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2:12" ht="15">
      <c r="B190" s="13"/>
      <c r="C190" s="18" t="s">
        <v>291</v>
      </c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2:12" ht="15">
      <c r="B191" s="13"/>
      <c r="C191" s="18" t="s">
        <v>292</v>
      </c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2:12" ht="15">
      <c r="B192" s="13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ht="15">
      <c r="B193" s="13"/>
    </row>
    <row r="194" spans="2:3" ht="15">
      <c r="B194" s="10" t="s">
        <v>70</v>
      </c>
      <c r="C194" s="2" t="s">
        <v>99</v>
      </c>
    </row>
    <row r="195" spans="3:12" ht="13.5" customHeight="1">
      <c r="C195" s="86" t="s">
        <v>219</v>
      </c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3:12" ht="15">
      <c r="C196" s="18" t="s">
        <v>269</v>
      </c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3:12" ht="15">
      <c r="C197" s="18" t="s">
        <v>270</v>
      </c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3:12" ht="15">
      <c r="C198" s="18" t="s">
        <v>271</v>
      </c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3:12" ht="15">
      <c r="C199" s="117" t="s">
        <v>293</v>
      </c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3:12" ht="15"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3:12" ht="15"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3:12" ht="15"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4" spans="2:3" ht="15">
      <c r="B204" s="10" t="s">
        <v>74</v>
      </c>
      <c r="C204" s="2" t="s">
        <v>154</v>
      </c>
    </row>
    <row r="205" ht="15">
      <c r="C205" s="3" t="s">
        <v>155</v>
      </c>
    </row>
    <row r="208" spans="2:3" ht="15">
      <c r="B208" s="10" t="s">
        <v>75</v>
      </c>
      <c r="C208" s="2" t="s">
        <v>95</v>
      </c>
    </row>
    <row r="209" ht="15">
      <c r="C209" s="3" t="s">
        <v>96</v>
      </c>
    </row>
    <row r="211" spans="9:12" ht="15">
      <c r="I211" s="16"/>
      <c r="J211" s="16"/>
      <c r="K211" s="16"/>
      <c r="L211" s="16"/>
    </row>
    <row r="212" spans="2:3" ht="15">
      <c r="B212" s="10" t="s">
        <v>160</v>
      </c>
      <c r="C212" s="2" t="s">
        <v>76</v>
      </c>
    </row>
    <row r="213" spans="2:3" ht="15">
      <c r="B213" s="10"/>
      <c r="C213" s="85" t="s">
        <v>275</v>
      </c>
    </row>
    <row r="214" spans="2:3" ht="15">
      <c r="B214" s="10"/>
      <c r="C214" s="3" t="s">
        <v>276</v>
      </c>
    </row>
    <row r="215" spans="2:3" ht="15">
      <c r="B215" s="10"/>
      <c r="C215" s="3" t="s">
        <v>277</v>
      </c>
    </row>
    <row r="216" ht="15">
      <c r="B216" s="10"/>
    </row>
    <row r="218" spans="2:3" ht="15">
      <c r="B218" s="10" t="s">
        <v>77</v>
      </c>
      <c r="C218" s="2" t="s">
        <v>78</v>
      </c>
    </row>
    <row r="219" spans="2:3" ht="15">
      <c r="B219" s="10"/>
      <c r="C219" s="3" t="s">
        <v>220</v>
      </c>
    </row>
    <row r="220" ht="15">
      <c r="B220" s="10"/>
    </row>
    <row r="222" spans="2:3" ht="15">
      <c r="B222" s="10" t="s">
        <v>161</v>
      </c>
      <c r="C222" s="2" t="s">
        <v>79</v>
      </c>
    </row>
    <row r="223" ht="15">
      <c r="C223" s="3" t="s">
        <v>221</v>
      </c>
    </row>
    <row r="226" spans="2:3" ht="15">
      <c r="B226" s="10" t="s">
        <v>173</v>
      </c>
      <c r="C226" s="2" t="s">
        <v>172</v>
      </c>
    </row>
    <row r="227" ht="15">
      <c r="C227" s="3" t="s">
        <v>174</v>
      </c>
    </row>
    <row r="228" ht="15">
      <c r="C228" s="3" t="s">
        <v>175</v>
      </c>
    </row>
    <row r="229" ht="15">
      <c r="C229" s="3" t="s">
        <v>176</v>
      </c>
    </row>
    <row r="230" ht="15">
      <c r="C230" s="3" t="s">
        <v>177</v>
      </c>
    </row>
    <row r="236" ht="15">
      <c r="B236" s="3" t="s">
        <v>85</v>
      </c>
    </row>
    <row r="238" ht="15">
      <c r="B238" s="2" t="s">
        <v>178</v>
      </c>
    </row>
    <row r="239" ht="15">
      <c r="B239" s="2" t="s">
        <v>157</v>
      </c>
    </row>
    <row r="240" ht="15">
      <c r="B240" s="3" t="s">
        <v>86</v>
      </c>
    </row>
    <row r="242" ht="15">
      <c r="B242" s="3" t="s">
        <v>87</v>
      </c>
    </row>
    <row r="243" ht="15">
      <c r="B243" s="3" t="s">
        <v>88</v>
      </c>
    </row>
    <row r="244" ht="15">
      <c r="B244" s="30" t="s">
        <v>222</v>
      </c>
    </row>
  </sheetData>
  <mergeCells count="3">
    <mergeCell ref="I26:J26"/>
    <mergeCell ref="K26:L26"/>
    <mergeCell ref="C199:L201"/>
  </mergeCells>
  <printOptions/>
  <pageMargins left="1" right="0.25" top="1" bottom="0.5" header="0" footer="0.5"/>
  <pageSetup fitToHeight="5" horizontalDpi="300" verticalDpi="300" orientation="portrait" paperSize="9" scale="85" r:id="rId1"/>
  <rowBreaks count="5" manualBreakCount="5">
    <brk id="52" min="1" max="11" man="1"/>
    <brk id="90" min="1" max="11" man="1"/>
    <brk id="128" min="1" max="11" man="1"/>
    <brk id="177" min="1" max="11" man="1"/>
    <brk id="22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SEMAJU MANAGEMENT</cp:lastModifiedBy>
  <cp:lastPrinted>2002-05-24T10:33:39Z</cp:lastPrinted>
  <dcterms:created xsi:type="dcterms:W3CDTF">1999-11-16T09:13:51Z</dcterms:created>
  <dcterms:modified xsi:type="dcterms:W3CDTF">2002-05-24T09:35:38Z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